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showInkAnnotation="0" defaultThemeVersion="124226"/>
  <xr:revisionPtr revIDLastSave="0" documentId="13_ncr:1_{5F565CFA-CE77-41BF-A215-24A8419FFF5D}" xr6:coauthVersionLast="47" xr6:coauthVersionMax="47" xr10:uidLastSave="{00000000-0000-0000-0000-000000000000}"/>
  <bookViews>
    <workbookView xWindow="28680" yWindow="-120" windowWidth="29040" windowHeight="15840"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3">別紙３支出内訳書!$A$1:$I$37</definedName>
    <definedName name="_xlnm.Print_Area" localSheetId="5">別紙4収益納付!$A$1:$G$37</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22" l="1"/>
  <c r="H3" i="23" l="1"/>
  <c r="H15" i="23" l="1"/>
  <c r="G15" i="23"/>
  <c r="H11" i="23"/>
  <c r="G11" i="23"/>
  <c r="H8" i="23"/>
  <c r="E39" i="23" l="1"/>
  <c r="K1" i="22"/>
  <c r="E19" i="22" l="1"/>
  <c r="E18" i="22"/>
  <c r="E17" i="22"/>
  <c r="E16" i="22"/>
  <c r="E14" i="22"/>
  <c r="E53" i="23" l="1"/>
  <c r="F5" i="13" l="1"/>
  <c r="F6" i="13"/>
  <c r="B20" i="13"/>
  <c r="C20" i="13"/>
  <c r="F20" i="13"/>
  <c r="G20" i="13"/>
  <c r="E3" i="23" l="1"/>
  <c r="E11" i="22" l="1"/>
  <c r="E21" i="22" s="1"/>
  <c r="E28" i="22"/>
  <c r="E15" i="22"/>
  <c r="E13" i="22"/>
  <c r="E12" i="22"/>
  <c r="E10" i="22"/>
  <c r="E9" i="22"/>
  <c r="G5" i="22"/>
  <c r="G4" i="22"/>
  <c r="G20" i="23"/>
  <c r="E30" i="22"/>
  <c r="E20" i="22" l="1"/>
  <c r="H37" i="23" s="1"/>
  <c r="E22" i="22"/>
  <c r="H20" i="23"/>
  <c r="H21" i="23"/>
  <c r="H39" i="23"/>
  <c r="G3" i="23"/>
  <c r="F16" i="23" s="1"/>
  <c r="G16" i="23" s="1"/>
  <c r="M1" i="22"/>
  <c r="H41" i="23" l="1"/>
  <c r="E51" i="23"/>
  <c r="F3" i="23"/>
  <c r="F12" i="23" s="1"/>
  <c r="H22" i="23"/>
  <c r="H10" i="23"/>
  <c r="H9" i="23"/>
  <c r="E40" i="23"/>
  <c r="N34" i="22" s="1"/>
  <c r="G17" i="23"/>
  <c r="E14" i="15"/>
  <c r="H17" i="23" l="1"/>
  <c r="H16" i="23"/>
  <c r="H18" i="23" s="1"/>
  <c r="G12" i="23"/>
  <c r="E49" i="23"/>
  <c r="K35" i="22" s="1"/>
  <c r="G18" i="23"/>
  <c r="A1" i="21"/>
  <c r="E4" i="16"/>
  <c r="H12" i="23" l="1"/>
  <c r="I16" i="23" s="1"/>
  <c r="E26" i="22" s="1"/>
  <c r="D31" i="23" s="1"/>
  <c r="G14" i="23"/>
  <c r="I14" i="23" s="1"/>
  <c r="I12" i="23"/>
  <c r="H13" i="23"/>
  <c r="G6" i="15"/>
  <c r="D11" i="16"/>
  <c r="G7" i="15"/>
  <c r="H14" i="23" l="1"/>
  <c r="I20" i="23"/>
  <c r="G29" i="23" s="1"/>
  <c r="I17" i="23"/>
  <c r="I18" i="23"/>
  <c r="I22" i="23" s="1"/>
  <c r="J22" i="23" s="1"/>
  <c r="E47" i="23" s="1"/>
  <c r="J27" i="22" s="1"/>
  <c r="B1" i="21"/>
  <c r="N20" i="23" l="1"/>
  <c r="P16" i="23"/>
  <c r="I29" i="23" s="1"/>
  <c r="G31" i="23"/>
  <c r="L16" i="23"/>
  <c r="L12" i="23"/>
  <c r="I31" i="23"/>
  <c r="L20" i="23"/>
  <c r="N12" i="23"/>
  <c r="N16" i="23" s="1"/>
  <c r="G33" i="23" s="1"/>
  <c r="H42" i="23" s="1"/>
  <c r="I33" i="23"/>
  <c r="J20" i="23"/>
  <c r="E25" i="22" s="1"/>
  <c r="E27" i="22" s="1"/>
  <c r="E29" i="22" s="1"/>
  <c r="L34" i="22" s="1"/>
  <c r="P12" i="23"/>
  <c r="P20" i="23" s="1"/>
  <c r="M16" i="23" l="1"/>
  <c r="E31" i="23"/>
  <c r="E32" i="22"/>
  <c r="E37" i="23"/>
  <c r="E38" i="23" s="1"/>
  <c r="E34" i="23"/>
  <c r="E31" i="22"/>
  <c r="E33" i="23" s="1"/>
  <c r="E29" i="23"/>
  <c r="H38" i="23"/>
  <c r="D29" i="23"/>
  <c r="C32" i="9"/>
  <c r="H40" i="23" l="1"/>
  <c r="I38" i="23"/>
  <c r="J38" i="23" s="1"/>
  <c r="D32" i="9"/>
  <c r="I42" i="23" l="1"/>
  <c r="J42" i="23" s="1"/>
  <c r="I40" i="23"/>
  <c r="J40"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<sst xmlns="http://schemas.openxmlformats.org/spreadsheetml/2006/main" count="272" uniqueCount="234">
  <si>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</si>
  <si>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</si>
  <si>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</si>
  <si>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</si>
  <si>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</si>
  <si>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</si>
  <si>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</si>
  <si>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</si>
  <si>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</si>
  <si>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</si>
  <si>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</si>
  <si>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</si>
  <si>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</si>
  <si>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</si>
  <si>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</si>
  <si>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</si>
  <si>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</si>
  <si>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</si>
  <si>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</si>
  <si>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</si>
  <si>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</si>
  <si>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</si>
  <si>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</si>
  <si>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</si>
  <si>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</si>
  <si>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</si>
  <si>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</si>
  <si>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</si>
  <si>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</si>
  <si>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</si>
  <si>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</si>
  <si>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</si>
  <si>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</si>
  <si>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</si>
  <si>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</si>
  <si>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</si>
  <si>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</si>
  <si>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</si>
  <si>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</si>
  <si>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</si>
  <si>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</si>
  <si>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</si>
  <si>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</si>
  <si>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</si>
  <si>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3"/>
  </si>
  <si>
    <t>～</t>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</si>
  <si>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</si>
  <si>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</si>
  <si>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</si>
  <si>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</si>
  <si>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</si>
  <si>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</si>
  <si>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</si>
  <si>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</si>
  <si>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</si>
  <si>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</si>
  <si>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</si>
  <si>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</si>
  <si>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</si>
  <si>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</si>
  <si>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</si>
  <si>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</si>
  <si>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</si>
  <si>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</si>
  <si>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</si>
  <si>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</si>
  <si>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</si>
  <si>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</si>
  <si>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</si>
  <si>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</si>
  <si>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</si>
  <si>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</si>
  <si>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</si>
  <si>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</si>
  <si>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</si>
  <si>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</si>
  <si>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</si>
  <si>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</si>
  <si>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</si>
  <si>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</si>
  <si>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</si>
  <si>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</si>
  <si>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</si>
  <si>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</si>
  <si>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</si>
  <si>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</si>
  <si>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</si>
  <si>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</si>
  <si>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</si>
  <si>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</si>
  <si>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</si>
  <si>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</si>
  <si>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</si>
  <si>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</si>
  <si>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</si>
  <si>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</si>
  <si>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</si>
  <si>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</si>
  <si>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</si>
  <si>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</si>
  <si>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</si>
  <si>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</si>
  <si>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</si>
  <si>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</si>
  <si>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</si>
  <si>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</si>
  <si>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</si>
  <si>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</si>
  <si>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</si>
  <si>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</si>
  <si>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</si>
  <si>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</si>
  <si>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</si>
  <si>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</si>
  <si>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</si>
  <si>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</si>
  <si>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</si>
  <si>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</si>
  <si>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</si>
  <si>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</si>
  <si>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</si>
  <si>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</si>
  <si>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</si>
  <si>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</si>
  <si>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</si>
  <si>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</si>
  <si>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</si>
  <si>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</si>
  <si>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</si>
  <si>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</si>
  <si>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</si>
  <si>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</si>
  <si>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</si>
  <si>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</si>
  <si>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</si>
  <si>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</si>
  <si>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</si>
  <si>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</si>
  <si>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</si>
  <si>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</si>
  <si>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</si>
  <si>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</si>
  <si>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</si>
  <si>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</si>
  <si>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</si>
  <si>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</si>
  <si>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</si>
  <si>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</si>
  <si>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</si>
  <si>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</si>
  <si>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</si>
  <si>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</si>
  <si>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</si>
  <si>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</si>
  <si>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</si>
  <si>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</si>
  <si>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</si>
  <si>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</si>
  <si>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</si>
  <si>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</si>
  <si>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</si>
  <si>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</si>
  <si>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</si>
  <si>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</si>
  <si>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</si>
  <si>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</si>
  <si>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</si>
  <si>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</si>
  <si>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</si>
  <si>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</si>
  <si>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</si>
  <si>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</si>
  <si>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</si>
  <si>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</si>
  <si>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</si>
  <si>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</si>
  <si>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</si>
  <si>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</si>
  <si>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</si>
  <si>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</si>
  <si>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</si>
  <si>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</si>
  <si>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</si>
  <si>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</si>
  <si>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</si>
  <si>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</si>
  <si>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</si>
  <si>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</si>
  <si>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</si>
  <si>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</si>
  <si>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</si>
  <si>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</si>
  <si>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</si>
  <si>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</si>
  <si>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</si>
  <si>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</si>
  <si>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</si>
  <si>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</si>
  <si>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</si>
  <si>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</si>
  <si>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</si>
  <si>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r>
      <t>　　　　（</t>
    </r>
    <r>
      <rPr>
        <sz val="12"/>
        <color indexed="8"/>
        <rFont val="Century"/>
        <family val="1"/>
      </rPr>
      <t>20</t>
    </r>
    <r>
      <rPr>
        <sz val="12"/>
        <color indexed="8"/>
        <rFont val="ＭＳ 明朝"/>
        <family val="1"/>
        <charset val="128"/>
      </rPr>
      <t>●年　月　日交付決定（第●回受付締切分））</t>
    </r>
    <phoneticPr fontId="13"/>
  </si>
  <si>
    <t>※　↑　別紙収益納付式</t>
    <rPh sb="4" eb="6">
      <t>ベッシ</t>
    </rPh>
    <rPh sb="6" eb="8">
      <t>シュウエキ</t>
    </rPh>
    <rPh sb="8" eb="10">
      <t>ノウフ</t>
    </rPh>
    <rPh sb="10" eb="11">
      <t>シキ</t>
    </rPh>
    <phoneticPr fontId="13"/>
  </si>
  <si>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</si>
  <si>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</si>
  <si>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</si>
  <si>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</si>
  <si>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</si>
  <si>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</si>
  <si>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</si>
  <si>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</si>
  <si>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</si>
  <si>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</si>
  <si>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</si>
  <si>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６．新商品開発費</t>
    <rPh sb="2" eb="5">
      <t>シンショウヒン</t>
    </rPh>
    <phoneticPr fontId="13"/>
  </si>
  <si>
    <t>４．展示会等出展費（オンラインによる展示会・商談会等を含む）</t>
    <rPh sb="18" eb="21">
      <t>テンジカイ</t>
    </rPh>
    <rPh sb="22" eb="25">
      <t>ショウダンカイ</t>
    </rPh>
    <rPh sb="25" eb="26">
      <t>トウ</t>
    </rPh>
    <rPh sb="27" eb="28">
      <t>フク</t>
    </rPh>
    <phoneticPr fontId="13"/>
  </si>
  <si>
    <t>８．借料</t>
    <phoneticPr fontId="13"/>
  </si>
  <si>
    <t>９．設備処分費（②）</t>
    <phoneticPr fontId="13"/>
  </si>
  <si>
    <t>10．委託・外注費</t>
    <rPh sb="3" eb="5">
      <t>イタク</t>
    </rPh>
    <rPh sb="6" eb="9">
      <t>ガイチュウヒ</t>
    </rPh>
    <phoneticPr fontId="1"/>
  </si>
  <si>
    <t>11．車両購入費</t>
    <rPh sb="3" eb="5">
      <t>シャリョウ</t>
    </rPh>
    <rPh sb="5" eb="8">
      <t>コウニュウヒ</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</si>
  <si>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</si>
  <si>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補助上限額を選択してください</t>
  </si>
  <si>
    <t>選択</t>
  </si>
  <si>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</si>
  <si>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</si>
  <si>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（１）③の3分の2以内の金額（円未満は切り捨て）</t>
    <phoneticPr fontId="13"/>
  </si>
  <si>
    <t>（２）④の3分の2以内の金額（円未満は切り捨て）</t>
    <phoneticPr fontId="13"/>
  </si>
  <si>
    <t>（６）収益納付額（控除される額）（※１）</t>
    <rPh sb="3" eb="5">
      <t>シュウエキ</t>
    </rPh>
    <rPh sb="5" eb="7">
      <t>ノウフ</t>
    </rPh>
    <rPh sb="7" eb="8">
      <t>ガク</t>
    </rPh>
    <rPh sb="9" eb="11">
      <t>コウジョ</t>
    </rPh>
    <rPh sb="14" eb="15">
      <t>ガク</t>
    </rPh>
    <phoneticPr fontId="13"/>
  </si>
  <si>
    <t>（２）≦（５）×1/4であるか（※２）</t>
    <phoneticPr fontId="13"/>
  </si>
  <si>
    <t>補助率を選択してください</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</si>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</sst>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0\)"/>
    <numFmt numFmtId="177" formatCode="#,##0_);[Red]\(#,##0\)"/>
    <numFmt numFmtId="178" formatCode="#,##0_ "/>
    <numFmt numFmtId="179" formatCode="0.00_ "/>
    <numFmt numFmtId="180" formatCode="#,##0.000_);[Red]\(#,##0.000\)"/>
    <numFmt numFmtId="181" formatCode="0_ "/>
    <numFmt numFmtId="182" formatCode="[$-F800]dddd\,\ mmmm\ dd\,\ yyyy"/>
    <numFmt numFmtId="183" formatCode="yyyy/m/d;@"/>
    <numFmt numFmtId="184" formatCode="#,##0_ ;[Red]\-#,##0\ "/>
    <numFmt numFmtId="185" formatCode="#,##0&quot;円&quot;"/>
  </numFmts>
  <fonts count="56">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15">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7" fillId="5" borderId="0" xfId="0" applyFont="1" applyFill="1" applyProtection="1">
      <alignment vertical="center"/>
      <protection hidden="1"/>
    </xf>
    <xf numFmtId="38" fontId="25" fillId="6" borderId="0" xfId="5" applyFont="1" applyFill="1" applyBorder="1" applyAlignment="1" applyProtection="1">
      <alignment horizontal="center" vertical="center"/>
      <protection hidden="1"/>
    </xf>
    <xf numFmtId="176" fontId="26" fillId="5" borderId="0" xfId="0" applyNumberFormat="1" applyFont="1" applyFill="1" applyAlignment="1" applyProtection="1">
      <alignment horizontal="right" vertical="center"/>
      <protection hidden="1"/>
    </xf>
    <xf numFmtId="176" fontId="26" fillId="0" borderId="0" xfId="0" applyNumberFormat="1" applyFont="1" applyAlignment="1" applyProtection="1">
      <alignment horizontal="right" vertical="top"/>
      <protection hidden="1"/>
    </xf>
    <xf numFmtId="0" fontId="22" fillId="0" borderId="0" xfId="0" applyFont="1">
      <alignment vertical="center"/>
    </xf>
    <xf numFmtId="0" fontId="22" fillId="0" borderId="0" xfId="0" applyFont="1" applyAlignment="1">
      <alignment horizontal="center" vertical="center"/>
    </xf>
    <xf numFmtId="38" fontId="25"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8" fillId="0" borderId="59" xfId="0" applyNumberFormat="1" applyFont="1" applyBorder="1">
      <alignment vertical="center"/>
    </xf>
    <xf numFmtId="49" fontId="28"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29" fillId="0" borderId="0" xfId="0" applyNumberFormat="1" applyFont="1">
      <alignment vertical="center"/>
    </xf>
    <xf numFmtId="0" fontId="30"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1" fillId="0" borderId="38" xfId="0" applyNumberFormat="1" applyFont="1" applyBorder="1">
      <alignment vertical="center"/>
    </xf>
    <xf numFmtId="180" fontId="31" fillId="0" borderId="38" xfId="0" applyNumberFormat="1" applyFont="1" applyBorder="1">
      <alignment vertical="center"/>
    </xf>
    <xf numFmtId="177" fontId="24"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4"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3" fillId="0" borderId="0" xfId="0" applyFont="1" applyAlignment="1" applyProtection="1">
      <alignment horizontal="left" vertical="center"/>
      <protection hidden="1"/>
    </xf>
    <xf numFmtId="0" fontId="33" fillId="0" borderId="0" xfId="0" applyFont="1" applyAlignment="1" applyProtection="1">
      <alignment horizontal="center" vertical="center"/>
      <protection hidden="1"/>
    </xf>
    <xf numFmtId="0" fontId="33" fillId="0" borderId="0" xfId="0" applyFont="1" applyAlignment="1">
      <alignment horizontal="left" vertical="center"/>
    </xf>
    <xf numFmtId="3" fontId="33"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4" fillId="0" borderId="0" xfId="0" applyFont="1" applyAlignment="1">
      <alignment horizontal="justify" vertical="center"/>
    </xf>
    <xf numFmtId="0" fontId="11" fillId="0" borderId="6" xfId="0" applyFont="1" applyBorder="1" applyAlignment="1">
      <alignment horizontal="right" vertical="center"/>
    </xf>
    <xf numFmtId="0" fontId="35" fillId="0" borderId="0" xfId="0" applyFont="1">
      <alignment vertical="center"/>
    </xf>
    <xf numFmtId="0" fontId="34" fillId="0" borderId="0" xfId="0" applyFont="1" applyAlignment="1">
      <alignment horizontal="center" vertical="center"/>
    </xf>
    <xf numFmtId="0" fontId="36" fillId="0" borderId="38" xfId="0" applyFont="1" applyBorder="1" applyAlignment="1">
      <alignment horizontal="center" vertical="center" wrapText="1"/>
    </xf>
    <xf numFmtId="0" fontId="3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shrinkToFit="1"/>
    </xf>
    <xf numFmtId="0" fontId="39" fillId="0" borderId="0" xfId="0" applyFont="1" applyAlignment="1">
      <alignment horizontal="right" vertical="center"/>
    </xf>
    <xf numFmtId="0" fontId="34" fillId="0" borderId="0" xfId="0" applyFont="1" applyAlignment="1">
      <alignment horizontal="right" vertical="center"/>
    </xf>
    <xf numFmtId="0" fontId="34" fillId="0" borderId="70" xfId="0" applyFont="1" applyBorder="1" applyAlignment="1">
      <alignment horizontal="left" vertical="center" wrapText="1"/>
    </xf>
    <xf numFmtId="0" fontId="34" fillId="0" borderId="38" xfId="0" applyFont="1" applyBorder="1" applyAlignment="1">
      <alignment horizontal="center" vertical="center" wrapText="1"/>
    </xf>
    <xf numFmtId="0" fontId="45" fillId="0" borderId="0" xfId="0" applyFont="1">
      <alignment vertical="center"/>
    </xf>
    <xf numFmtId="0" fontId="43" fillId="0" borderId="0" xfId="0" applyFont="1" applyAlignment="1">
      <alignment vertical="center" wrapText="1"/>
    </xf>
    <xf numFmtId="0" fontId="48" fillId="0" borderId="0" xfId="0" applyFont="1" applyAlignment="1">
      <alignment horizontal="justify" vertical="center"/>
    </xf>
    <xf numFmtId="0" fontId="34" fillId="0" borderId="0" xfId="0" applyFont="1">
      <alignment vertical="center"/>
    </xf>
    <xf numFmtId="0" fontId="34" fillId="0" borderId="0" xfId="0" applyFont="1" applyAlignment="1">
      <alignment horizontal="distributed" vertical="justify"/>
    </xf>
    <xf numFmtId="0" fontId="36"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2" fillId="0" borderId="38" xfId="0" applyFont="1" applyBorder="1" applyAlignment="1">
      <alignment horizontal="center" vertical="center" shrinkToFit="1"/>
    </xf>
    <xf numFmtId="176" fontId="33"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3" fillId="0" borderId="0" xfId="0" applyFont="1">
      <alignment vertical="center"/>
    </xf>
    <xf numFmtId="182"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0" fontId="0" fillId="0" borderId="0" xfId="0" applyAlignment="1">
      <alignment vertical="center" wrapText="1"/>
    </xf>
    <xf numFmtId="0" fontId="2" fillId="2" borderId="14" xfId="4" applyFill="1" applyBorder="1" applyAlignment="1" applyProtection="1">
      <alignment vertical="center" wrapText="1"/>
      <protection locked="0"/>
    </xf>
    <xf numFmtId="183" fontId="2" fillId="2" borderId="20" xfId="4" applyNumberFormat="1" applyFill="1" applyBorder="1" applyAlignment="1" applyProtection="1">
      <alignment horizontal="center" vertical="center" wrapText="1"/>
      <protection locked="0"/>
    </xf>
    <xf numFmtId="183" fontId="2" fillId="2" borderId="10" xfId="4" applyNumberFormat="1" applyFill="1" applyBorder="1" applyAlignment="1" applyProtection="1">
      <alignment horizontal="center" vertical="center" wrapText="1"/>
      <protection locked="0"/>
    </xf>
    <xf numFmtId="183" fontId="2" fillId="2" borderId="21" xfId="4" applyNumberFormat="1" applyFill="1" applyBorder="1" applyAlignment="1" applyProtection="1">
      <alignment horizontal="center" vertical="center" wrapText="1"/>
      <protection locked="0"/>
    </xf>
    <xf numFmtId="183" fontId="2" fillId="2" borderId="14" xfId="4" applyNumberFormat="1" applyFill="1" applyBorder="1" applyAlignment="1" applyProtection="1">
      <alignment horizontal="center" vertical="center" wrapText="1"/>
      <protection locked="0"/>
    </xf>
    <xf numFmtId="183" fontId="2" fillId="2" borderId="22" xfId="4" applyNumberFormat="1" applyFill="1" applyBorder="1" applyAlignment="1" applyProtection="1">
      <alignment horizontal="center" vertical="center" wrapText="1"/>
      <protection locked="0"/>
    </xf>
    <xf numFmtId="183" fontId="2" fillId="2" borderId="3" xfId="4" applyNumberFormat="1" applyFill="1" applyBorder="1" applyAlignment="1" applyProtection="1">
      <alignment horizontal="center" vertical="center" wrapText="1"/>
      <protection locked="0"/>
    </xf>
    <xf numFmtId="184" fontId="7" fillId="2" borderId="9" xfId="2" applyNumberFormat="1" applyFont="1" applyFill="1" applyBorder="1" applyAlignment="1" applyProtection="1">
      <alignment horizontal="right" vertical="center"/>
      <protection locked="0"/>
    </xf>
    <xf numFmtId="184" fontId="6" fillId="2" borderId="13" xfId="2" applyNumberFormat="1" applyFont="1" applyFill="1" applyBorder="1" applyAlignment="1" applyProtection="1">
      <alignment horizontal="right" vertical="center"/>
      <protection locked="0"/>
    </xf>
    <xf numFmtId="184" fontId="7" fillId="2" borderId="12" xfId="2" applyNumberFormat="1" applyFont="1" applyFill="1" applyBorder="1" applyAlignment="1" applyProtection="1">
      <alignment horizontal="right" vertical="center"/>
      <protection locked="0"/>
    </xf>
    <xf numFmtId="184" fontId="7" fillId="2" borderId="16" xfId="2" applyNumberFormat="1" applyFont="1" applyFill="1" applyBorder="1" applyAlignment="1" applyProtection="1">
      <alignment horizontal="right" vertical="center"/>
      <protection locked="0"/>
    </xf>
    <xf numFmtId="184" fontId="7" fillId="0" borderId="8" xfId="2" applyNumberFormat="1" applyFont="1" applyFill="1" applyBorder="1" applyAlignment="1" applyProtection="1">
      <alignment vertical="center"/>
    </xf>
    <xf numFmtId="184" fontId="7" fillId="0" borderId="19" xfId="2" applyNumberFormat="1" applyFont="1" applyFill="1" applyBorder="1" applyAlignment="1" applyProtection="1">
      <alignment horizontal="right" vertical="center"/>
    </xf>
    <xf numFmtId="185" fontId="3" fillId="14" borderId="6" xfId="3" applyNumberFormat="1" applyFont="1" applyFill="1" applyBorder="1" applyAlignment="1" applyProtection="1">
      <alignment horizontal="left" vertical="center" shrinkToFit="1"/>
      <protection locked="0"/>
    </xf>
    <xf numFmtId="176" fontId="33" fillId="5" borderId="0" xfId="0" applyNumberFormat="1" applyFont="1" applyFill="1" applyAlignment="1">
      <alignment horizontal="center" vertical="center"/>
    </xf>
    <xf numFmtId="0" fontId="0" fillId="0" borderId="0" xfId="0" applyAlignment="1">
      <alignment horizontal="left" vertical="center" shrinkToFi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0" fillId="0" borderId="38" xfId="0" applyBorder="1" applyAlignment="1">
      <alignment horizontal="center" vertical="center"/>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1"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4" fillId="0" borderId="0" xfId="0" applyFont="1" applyAlignment="1">
      <alignment horizontal="center" vertical="center"/>
    </xf>
    <xf numFmtId="0" fontId="34"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4" fillId="0" borderId="0" xfId="0" applyFont="1" applyAlignment="1">
      <alignment horizontal="left" vertical="center" wrapText="1"/>
    </xf>
    <xf numFmtId="0" fontId="39" fillId="0" borderId="0" xfId="0" applyFont="1" applyAlignment="1">
      <alignment horizontal="left" vertical="center"/>
    </xf>
    <xf numFmtId="0" fontId="37" fillId="0" borderId="0" xfId="0" applyFont="1" applyAlignment="1">
      <alignment horizontal="left" vertical="center"/>
    </xf>
    <xf numFmtId="0" fontId="43" fillId="0" borderId="0" xfId="0" applyFont="1" applyAlignment="1">
      <alignment horizontal="left" vertical="center" wrapText="1"/>
    </xf>
    <xf numFmtId="0" fontId="44" fillId="0" borderId="0" xfId="0" applyFont="1" applyAlignment="1">
      <alignment horizontal="center" vertical="center"/>
    </xf>
    <xf numFmtId="0" fontId="11" fillId="0" borderId="6" xfId="0" applyFont="1" applyBorder="1" applyAlignment="1">
      <alignment horizontal="center" vertical="center" shrinkToFit="1"/>
    </xf>
    <xf numFmtId="0" fontId="34" fillId="0" borderId="0" xfId="0" applyFont="1">
      <alignment vertical="center"/>
    </xf>
    <xf numFmtId="0" fontId="0" fillId="0" borderId="0" xfId="0" applyAlignment="1">
      <alignment horizontal="right" vertical="center"/>
    </xf>
    <xf numFmtId="0" fontId="34" fillId="0" borderId="0" xfId="0" applyFont="1" applyAlignment="1">
      <alignment horizontal="right" vertical="center" shrinkToFit="1"/>
    </xf>
    <xf numFmtId="0" fontId="34" fillId="0" borderId="0" xfId="0" applyFont="1" applyAlignment="1">
      <alignment horizontal="left" vertical="center" shrinkToFit="1"/>
    </xf>
    <xf numFmtId="0" fontId="52" fillId="0" borderId="0" xfId="0" applyFont="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xf numFmtId="0" fontId="36" fillId="0" borderId="38" xfId="0" applyFont="1" applyBorder="1" applyAlignment="1" applyProtection="1">
      <alignment horizontal="justify" vertical="center" wrapText="1"/>
      <protection locked="0"/>
    </xf>
    <xf numFmtId="178" fontId="36" fillId="0" borderId="38" xfId="0" applyNumberFormat="1" applyFont="1" applyBorder="1" applyAlignment="1" applyProtection="1">
      <alignment horizontal="right" vertical="center" wrapText="1"/>
      <protection locked="0"/>
    </xf>
    <xf numFmtId="0" fontId="34" fillId="0" borderId="38" xfId="0" applyFont="1" applyBorder="1" applyAlignment="1" applyProtection="1">
      <alignment horizontal="justify" vertical="center" wrapText="1"/>
      <protection locked="0"/>
    </xf>
    <xf numFmtId="38" fontId="34" fillId="0" borderId="38" xfId="5" applyFont="1" applyBorder="1" applyAlignment="1" applyProtection="1">
      <alignment horizontal="justify" vertical="center" wrapText="1"/>
      <protection locked="0"/>
    </xf>
    <xf numFmtId="3" fontId="34" fillId="0" borderId="38" xfId="5" applyNumberFormat="1" applyFont="1" applyBorder="1" applyAlignment="1" applyProtection="1">
      <alignment horizontal="justify" vertical="center" wrapText="1"/>
      <protection locked="0"/>
    </xf>
    <xf numFmtId="14" fontId="34" fillId="0" borderId="38" xfId="0" applyNumberFormat="1" applyFont="1" applyBorder="1" applyAlignment="1" applyProtection="1">
      <alignment horizontal="justify" vertical="center" wrapText="1"/>
      <protection locked="0"/>
    </xf>
    <xf numFmtId="0" fontId="34" fillId="0" borderId="0" xfId="0" applyFont="1" applyAlignment="1" applyProtection="1">
      <alignment horizontal="left" vertical="center" shrinkToFit="1"/>
      <protection locked="0"/>
    </xf>
    <xf numFmtId="0" fontId="0" fillId="0" borderId="0" xfId="0" applyAlignment="1" applyProtection="1">
      <alignment horizontal="center" vertical="center" shrinkToFit="1"/>
      <protection locked="0"/>
    </xf>
    <xf numFmtId="0" fontId="34" fillId="0" borderId="6" xfId="0" applyFont="1" applyBorder="1" applyAlignment="1" applyProtection="1">
      <alignment horizontal="right" vertical="center"/>
      <protection locked="0"/>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504190</xdr:colOff>
      <xdr:row>4</xdr:row>
      <xdr:rowOff>35560</xdr:rowOff>
    </xdr:from>
    <xdr:to>
      <xdr:col>10</xdr:col>
      <xdr:colOff>598170</xdr:colOff>
      <xdr:row>29</xdr:row>
      <xdr:rowOff>113030</xdr:rowOff>
    </xdr:to>
    <xdr:grpSp>
      <xdr:nvGrpSpPr>
        <xdr:cNvPr id="2" name="グループ化 1">
          <a:extLst>
            <a:ext uri="{FF2B5EF4-FFF2-40B4-BE49-F238E27FC236}">
              <a16:creationId xmlns:a16="http://schemas.microsoft.com/office/drawing/2014/main" id="{198A56B1-BCE9-4D94-B65E-91BB37515C68}"/>
            </a:ext>
          </a:extLst>
        </xdr:cNvPr>
        <xdr:cNvGrpSpPr/>
      </xdr:nvGrpSpPr>
      <xdr:grpSpPr>
        <a:xfrm>
          <a:off x="506095" y="2362973"/>
          <a:ext cx="6302127" cy="4425840"/>
          <a:chOff x="4389783" y="17227"/>
          <a:chExt cx="6887320" cy="4927490"/>
        </a:xfrm>
      </xdr:grpSpPr>
      <xdr:pic>
        <xdr:nvPicPr>
          <xdr:cNvPr id="3" name="図 2">
            <a:extLst>
              <a:ext uri="{FF2B5EF4-FFF2-40B4-BE49-F238E27FC236}">
                <a16:creationId xmlns:a16="http://schemas.microsoft.com/office/drawing/2014/main" id="{66742412-1054-D38B-CDBB-C33019B2B0F2}"/>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4" name="図 3">
            <a:extLst>
              <a:ext uri="{FF2B5EF4-FFF2-40B4-BE49-F238E27FC236}">
                <a16:creationId xmlns:a16="http://schemas.microsoft.com/office/drawing/2014/main" id="{03DE1634-7C9A-B072-42EE-69905E81D890}"/>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56887</xdr:colOff>
      <xdr:row>2</xdr:row>
      <xdr:rowOff>130097</xdr:rowOff>
    </xdr:from>
    <xdr:to>
      <xdr:col>10</xdr:col>
      <xdr:colOff>588644</xdr:colOff>
      <xdr:row>28</xdr:row>
      <xdr:rowOff>38100</xdr:rowOff>
    </xdr:to>
    <xdr:grpSp>
      <xdr:nvGrpSpPr>
        <xdr:cNvPr id="5" name="グループ化 8">
          <a:extLst>
            <a:ext uri="{FF2B5EF4-FFF2-40B4-BE49-F238E27FC236}">
              <a16:creationId xmlns:a16="http://schemas.microsoft.com/office/drawing/2014/main" id="{1401480D-1A2B-4FCB-AE93-D5B780E714F2}"/>
            </a:ext>
          </a:extLst>
        </xdr:cNvPr>
        <xdr:cNvGrpSpPr>
          <a:grpSpLocks/>
        </xdr:cNvGrpSpPr>
      </xdr:nvGrpSpPr>
      <xdr:grpSpPr bwMode="auto">
        <a:xfrm>
          <a:off x="681893" y="2113450"/>
          <a:ext cx="6122518" cy="4426498"/>
          <a:chOff x="-25332" y="-297634"/>
          <a:chExt cx="7665873" cy="5017344"/>
        </a:xfrm>
      </xdr:grpSpPr>
      <xdr:grpSp>
        <xdr:nvGrpSpPr>
          <xdr:cNvPr id="6" name="グループ化 5">
            <a:extLst>
              <a:ext uri="{FF2B5EF4-FFF2-40B4-BE49-F238E27FC236}">
                <a16:creationId xmlns:a16="http://schemas.microsoft.com/office/drawing/2014/main" id="{343E9B0F-DB99-9156-DB8B-AA4FD015D73D}"/>
              </a:ext>
            </a:extLst>
          </xdr:cNvPr>
          <xdr:cNvGrpSpPr>
            <a:grpSpLocks/>
          </xdr:cNvGrpSpPr>
        </xdr:nvGrpSpPr>
        <xdr:grpSpPr bwMode="auto">
          <a:xfrm>
            <a:off x="-25332" y="395627"/>
            <a:ext cx="2178555" cy="3317160"/>
            <a:chOff x="22293" y="-128248"/>
            <a:chExt cx="2178555" cy="3317160"/>
          </a:xfrm>
        </xdr:grpSpPr>
        <xdr:sp macro="" textlink="">
          <xdr:nvSpPr>
            <xdr:cNvPr id="10" name="角丸四角形 1">
              <a:extLst>
                <a:ext uri="{FF2B5EF4-FFF2-40B4-BE49-F238E27FC236}">
                  <a16:creationId xmlns:a16="http://schemas.microsoft.com/office/drawing/2014/main" id="{0235F33F-0984-6663-CF67-A3AEC37A1D3B}"/>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2" name="角丸四角形 4">
              <a:extLst>
                <a:ext uri="{FF2B5EF4-FFF2-40B4-BE49-F238E27FC236}">
                  <a16:creationId xmlns:a16="http://schemas.microsoft.com/office/drawing/2014/main" id="{94DB4851-00BE-F3FB-878D-32C4A49051AD}"/>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3" name="角丸四角形 5">
              <a:extLst>
                <a:ext uri="{FF2B5EF4-FFF2-40B4-BE49-F238E27FC236}">
                  <a16:creationId xmlns:a16="http://schemas.microsoft.com/office/drawing/2014/main" id="{28FFD648-6439-EB40-1576-89F46F09D8BE}"/>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7" name="角丸四角形吹き出し 7">
            <a:extLst>
              <a:ext uri="{FF2B5EF4-FFF2-40B4-BE49-F238E27FC236}">
                <a16:creationId xmlns:a16="http://schemas.microsoft.com/office/drawing/2014/main" id="{C4870DE6-5837-4ACC-5D25-5527F478E7B1}"/>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8" name="角丸四角形吹き出し 9">
            <a:extLst>
              <a:ext uri="{FF2B5EF4-FFF2-40B4-BE49-F238E27FC236}">
                <a16:creationId xmlns:a16="http://schemas.microsoft.com/office/drawing/2014/main" id="{217887CE-E6BF-A87E-9F97-91072ED51A9A}"/>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9" name="角丸四角形吹き出し 10">
            <a:extLst>
              <a:ext uri="{FF2B5EF4-FFF2-40B4-BE49-F238E27FC236}">
                <a16:creationId xmlns:a16="http://schemas.microsoft.com/office/drawing/2014/main" id="{D24350D5-C1D3-A18C-C32B-C8886A8C61D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4" name="角丸四角形 4">
          <a:extLst>
            <a:ext uri="{FF2B5EF4-FFF2-40B4-BE49-F238E27FC236}">
              <a16:creationId xmlns:a16="http://schemas.microsoft.com/office/drawing/2014/main" id="{C669AA67-FA18-453A-98EB-9AF6CF323D57}"/>
            </a:ext>
          </a:extLst>
        </xdr:cNvPr>
        <xdr:cNvSpPr/>
      </xdr:nvSpPr>
      <xdr:spPr bwMode="auto">
        <a:xfrm>
          <a:off x="3030220" y="2475641"/>
          <a:ext cx="370205" cy="13420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5" name="角丸四角形吹き出し 7">
          <a:extLst>
            <a:ext uri="{FF2B5EF4-FFF2-40B4-BE49-F238E27FC236}">
              <a16:creationId xmlns:a16="http://schemas.microsoft.com/office/drawing/2014/main" id="{70A213E3-B781-4B64-BD1E-8FC8904C7745}"/>
            </a:ext>
          </a:extLst>
        </xdr:cNvPr>
        <xdr:cNvSpPr/>
      </xdr:nvSpPr>
      <xdr:spPr bwMode="auto">
        <a:xfrm>
          <a:off x="3151124" y="2972652"/>
          <a:ext cx="1146556" cy="47349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512445</xdr:colOff>
      <xdr:row>5</xdr:row>
      <xdr:rowOff>85725</xdr:rowOff>
    </xdr:from>
    <xdr:to>
      <xdr:col>9</xdr:col>
      <xdr:colOff>510883</xdr:colOff>
      <xdr:row>46</xdr:row>
      <xdr:rowOff>123825</xdr:rowOff>
    </xdr:to>
    <xdr:grpSp>
      <xdr:nvGrpSpPr>
        <xdr:cNvPr id="2" name="グループ化 1">
          <a:extLst>
            <a:ext uri="{FF2B5EF4-FFF2-40B4-BE49-F238E27FC236}">
              <a16:creationId xmlns:a16="http://schemas.microsoft.com/office/drawing/2014/main" id="{54C30B36-BCF0-4B43-998D-D9F1654414F7}"/>
            </a:ext>
          </a:extLst>
        </xdr:cNvPr>
        <xdr:cNvGrpSpPr/>
      </xdr:nvGrpSpPr>
      <xdr:grpSpPr>
        <a:xfrm>
          <a:off x="516255" y="1830705"/>
          <a:ext cx="5484838" cy="7067550"/>
          <a:chOff x="516255" y="1884045"/>
          <a:chExt cx="5477218" cy="7067550"/>
        </a:xfrm>
      </xdr:grpSpPr>
      <xdr:pic>
        <xdr:nvPicPr>
          <xdr:cNvPr id="3" name="図 2">
            <a:extLst>
              <a:ext uri="{FF2B5EF4-FFF2-40B4-BE49-F238E27FC236}">
                <a16:creationId xmlns:a16="http://schemas.microsoft.com/office/drawing/2014/main" id="{F322F35C-F969-B6B7-CA8B-B4336E9C4073}"/>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4" name="角丸四角形 2">
            <a:extLst>
              <a:ext uri="{FF2B5EF4-FFF2-40B4-BE49-F238E27FC236}">
                <a16:creationId xmlns:a16="http://schemas.microsoft.com/office/drawing/2014/main" id="{6BD51A34-23B5-DFB6-DAD4-95EACB7F89CD}"/>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角丸四角形吹き出し 3">
            <a:extLst>
              <a:ext uri="{FF2B5EF4-FFF2-40B4-BE49-F238E27FC236}">
                <a16:creationId xmlns:a16="http://schemas.microsoft.com/office/drawing/2014/main" id="{7EB309FF-1D50-13E6-E581-031942B956FC}"/>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6" name="角丸四角形 4">
            <a:extLst>
              <a:ext uri="{FF2B5EF4-FFF2-40B4-BE49-F238E27FC236}">
                <a16:creationId xmlns:a16="http://schemas.microsoft.com/office/drawing/2014/main" id="{F164F495-66D5-89BB-1D8F-7A2441F3381B}"/>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2" name="角丸四角形吹き出し 5">
            <a:extLst>
              <a:ext uri="{FF2B5EF4-FFF2-40B4-BE49-F238E27FC236}">
                <a16:creationId xmlns:a16="http://schemas.microsoft.com/office/drawing/2014/main" id="{5A72B3C9-F86C-9C63-81FA-B8BE9BBD5B0C}"/>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election activeCell="C15" sqref="C15"/>
    </sheetView>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212</v>
      </c>
    </row>
    <row r="2" spans="1:4">
      <c r="A2" s="167" t="s">
        <v>230</v>
      </c>
      <c r="B2" s="167"/>
      <c r="C2" s="167"/>
      <c r="D2" s="167"/>
    </row>
    <row r="3" spans="1:4">
      <c r="A3" s="167" t="s">
        <v>231</v>
      </c>
      <c r="B3" s="167"/>
      <c r="C3" s="167"/>
      <c r="D3" s="167"/>
    </row>
    <row r="4" spans="1:4">
      <c r="A4" t="s">
        <v>232</v>
      </c>
    </row>
    <row r="5" spans="1:4" ht="36" customHeight="1">
      <c r="A5" s="174" t="s">
        <v>233</v>
      </c>
      <c r="B5" s="174"/>
      <c r="C5" s="174"/>
      <c r="D5" s="174"/>
    </row>
    <row r="7" spans="1:4">
      <c r="A7" s="172" t="s">
        <v>98</v>
      </c>
      <c r="B7" s="172"/>
      <c r="C7" s="172"/>
      <c r="D7" s="172"/>
    </row>
    <row r="8" spans="1:4">
      <c r="A8" s="118"/>
      <c r="B8" s="118"/>
      <c r="C8" s="118"/>
      <c r="D8" s="119"/>
    </row>
    <row r="9" spans="1:4" ht="18" customHeight="1">
      <c r="A9" s="120" t="s">
        <v>99</v>
      </c>
      <c r="B9" s="173" t="s">
        <v>100</v>
      </c>
      <c r="C9" s="173"/>
      <c r="D9" s="120" t="s">
        <v>101</v>
      </c>
    </row>
    <row r="10" spans="1:4" ht="27" customHeight="1">
      <c r="A10" s="168" t="s">
        <v>102</v>
      </c>
      <c r="B10" s="112" t="s">
        <v>103</v>
      </c>
      <c r="C10" s="141" t="s">
        <v>104</v>
      </c>
      <c r="D10" s="112" t="s">
        <v>105</v>
      </c>
    </row>
    <row r="11" spans="1:4" ht="27" customHeight="1">
      <c r="A11" s="169"/>
      <c r="B11" s="112" t="s">
        <v>106</v>
      </c>
      <c r="C11" s="141" t="s">
        <v>107</v>
      </c>
      <c r="D11" s="112" t="s">
        <v>105</v>
      </c>
    </row>
    <row r="12" spans="1:4" ht="27" customHeight="1">
      <c r="A12" s="169"/>
      <c r="B12" s="112" t="s">
        <v>108</v>
      </c>
      <c r="C12" s="141" t="s">
        <v>109</v>
      </c>
      <c r="D12" s="112" t="s">
        <v>110</v>
      </c>
    </row>
    <row r="13" spans="1:4" ht="27" customHeight="1">
      <c r="A13" s="170"/>
      <c r="B13" s="112" t="s">
        <v>111</v>
      </c>
      <c r="C13" s="141" t="s">
        <v>112</v>
      </c>
      <c r="D13" s="112" t="s">
        <v>110</v>
      </c>
    </row>
    <row r="14" spans="1:4" ht="27" customHeight="1">
      <c r="A14" s="121" t="s">
        <v>113</v>
      </c>
      <c r="B14" s="112" t="s">
        <v>114</v>
      </c>
      <c r="C14" s="141" t="s">
        <v>115</v>
      </c>
      <c r="D14" s="112" t="s">
        <v>105</v>
      </c>
    </row>
    <row r="15" spans="1:4" ht="27" customHeight="1">
      <c r="A15" s="171" t="s">
        <v>116</v>
      </c>
      <c r="B15" s="112" t="s">
        <v>117</v>
      </c>
      <c r="C15" s="141" t="s">
        <v>118</v>
      </c>
      <c r="D15" s="112" t="s">
        <v>119</v>
      </c>
    </row>
    <row r="16" spans="1:4" ht="27" customHeight="1">
      <c r="A16" s="171"/>
      <c r="B16" s="112" t="s">
        <v>120</v>
      </c>
      <c r="C16" s="141" t="s">
        <v>121</v>
      </c>
      <c r="D16" s="112" t="s">
        <v>119</v>
      </c>
    </row>
    <row r="17" ht="27" customHeight="1"/>
    <row r="18" ht="27" customHeight="1"/>
  </sheetData>
  <sheetProtection sheet="1" objects="1" scenarios="1"/>
  <mergeCells count="7">
    <mergeCell ref="A2:D2"/>
    <mergeCell ref="A10:A13"/>
    <mergeCell ref="A15:A16"/>
    <mergeCell ref="A7:D7"/>
    <mergeCell ref="B9:C9"/>
    <mergeCell ref="A3:D3"/>
    <mergeCell ref="A5:D5"/>
  </mergeCells>
  <phoneticPr fontId="13"/>
  <hyperlinks>
    <hyperlink ref="C10" location="経費支出管理表!A1" display="経費支出管理表" xr:uid="{68A552A2-19CA-4844-AB66-AC1E85E532F8}"/>
    <hyperlink ref="C11" location="別紙３支出内訳書!A1" display="別紙3支出内訳表" xr:uid="{3A315516-3EE6-45CA-A73F-D68D587500CF}"/>
    <hyperlink ref="C12" location="別紙4収益納付!A1" display="別紙4収益納付" xr:uid="{900B7AB8-978C-4391-BB80-98F2699175E6}"/>
    <hyperlink ref="C13" location="'様式第11-2取得財産管理明細表'!A1" display="様式第11-2取得財産管理明細表" xr:uid="{FFDFEBEB-04E5-4528-917E-C4BA7C639A89}"/>
    <hyperlink ref="C14" location="様式第9精算払請求書!A1" display="様式第9精算払請求書" xr:uid="{7040EA32-0DB2-4FD1-8F9C-C574CCF0A568}"/>
    <hyperlink ref="C15" location="'参考　交付決定通知書とは'!A1" display="参考　交付決定通知書とは" xr:uid="{4D9FA5D6-41B7-478B-8C86-E0713C2299E9}"/>
    <hyperlink ref="C16" location="'参考　確定通知書とは'!A1" display="参考　確定通知書とは" xr:uid="{7F769408-3BD0-48D5-B564-5FA41A9B9E4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
  <sheetViews>
    <sheetView showGridLines="0" view="pageBreakPreview" zoomScaleNormal="100" zoomScaleSheetLayoutView="100" workbookViewId="0">
      <selection activeCell="J24" sqref="J24"/>
    </sheetView>
  </sheetViews>
  <sheetFormatPr defaultRowHeight="13.2"/>
  <sheetData>
    <row r="1" spans="1:13" ht="14.4">
      <c r="A1" s="140" t="s">
        <v>196</v>
      </c>
    </row>
    <row r="3" spans="1:13" ht="83.25" customHeight="1">
      <c r="A3" s="305" t="s">
        <v>210</v>
      </c>
      <c r="B3" s="305"/>
      <c r="C3" s="305"/>
      <c r="D3" s="305"/>
      <c r="E3" s="305"/>
      <c r="F3" s="305"/>
      <c r="G3" s="305"/>
      <c r="H3" s="305"/>
      <c r="I3" s="305"/>
      <c r="J3" s="305"/>
      <c r="K3" s="305"/>
      <c r="L3" s="151"/>
      <c r="M3" s="151"/>
    </row>
    <row r="5" spans="1:13">
      <c r="A5" s="36" t="s">
        <v>197</v>
      </c>
    </row>
  </sheetData>
  <sheetProtection sheet="1" objects="1" scenarios="1"/>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H4"/>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75"/>
      <c r="C1" s="176"/>
      <c r="D1" s="176"/>
      <c r="E1" s="176"/>
      <c r="F1" s="176"/>
      <c r="G1" s="176"/>
      <c r="H1" s="176"/>
      <c r="L1" s="5"/>
    </row>
    <row r="2" spans="1:12" ht="42.75" customHeight="1">
      <c r="A2" s="177" t="s">
        <v>16</v>
      </c>
      <c r="B2" s="177"/>
      <c r="C2" s="178"/>
      <c r="D2" s="178"/>
      <c r="E2" s="178"/>
      <c r="F2" s="178"/>
      <c r="G2" s="178"/>
      <c r="H2" s="178"/>
      <c r="L2" s="5"/>
    </row>
    <row r="3" spans="1:12" ht="19.5" customHeight="1">
      <c r="A3" s="6"/>
      <c r="B3" s="7"/>
      <c r="C3" s="8"/>
      <c r="D3" s="8"/>
      <c r="E3" s="7"/>
      <c r="F3" s="7"/>
      <c r="G3" s="9" t="s">
        <v>29</v>
      </c>
      <c r="H3" s="145"/>
    </row>
    <row r="4" spans="1:12" ht="19.5" customHeight="1">
      <c r="A4" s="6"/>
      <c r="B4" s="7"/>
      <c r="C4" s="8"/>
      <c r="D4" s="8"/>
      <c r="E4" s="7"/>
      <c r="F4" s="7"/>
      <c r="G4" s="10" t="s">
        <v>28</v>
      </c>
      <c r="H4" s="146"/>
    </row>
    <row r="5" spans="1:12" ht="18" customHeight="1">
      <c r="A5" s="6"/>
      <c r="B5" s="7"/>
      <c r="C5" s="8"/>
      <c r="D5" s="11"/>
      <c r="E5" s="7"/>
      <c r="F5" s="7"/>
      <c r="G5" s="179" t="s">
        <v>204</v>
      </c>
      <c r="H5" s="180"/>
    </row>
    <row r="6" spans="1:12" ht="19.350000000000001" customHeight="1">
      <c r="A6" s="6"/>
      <c r="B6" s="7"/>
      <c r="C6" s="8"/>
      <c r="D6" s="8"/>
      <c r="E6" s="7"/>
      <c r="F6" s="7"/>
      <c r="G6" s="9" t="s">
        <v>27</v>
      </c>
      <c r="H6" s="149"/>
    </row>
    <row r="7" spans="1:12" ht="19.350000000000001" customHeight="1">
      <c r="A7" s="6"/>
      <c r="B7" s="7"/>
      <c r="C7" s="8"/>
      <c r="D7" s="8"/>
      <c r="E7" s="7"/>
      <c r="F7" s="7"/>
      <c r="G7" s="181" t="s">
        <v>4</v>
      </c>
      <c r="H7" s="181"/>
    </row>
    <row r="8" spans="1:12" ht="19.350000000000001" customHeight="1">
      <c r="A8" s="6"/>
      <c r="B8" s="7"/>
      <c r="C8" s="8"/>
      <c r="D8" s="8"/>
      <c r="E8" s="7"/>
      <c r="F8" s="7"/>
      <c r="G8" s="9" t="s">
        <v>199</v>
      </c>
      <c r="H8" s="165"/>
    </row>
    <row r="9" spans="1:12" ht="19.350000000000001" customHeight="1">
      <c r="A9" s="6"/>
      <c r="B9" s="7"/>
      <c r="C9" s="8"/>
      <c r="D9" s="8"/>
      <c r="E9" s="7"/>
      <c r="F9" s="7"/>
      <c r="G9" s="181" t="s">
        <v>200</v>
      </c>
      <c r="H9" s="181"/>
    </row>
    <row r="10" spans="1:12" ht="19.5" customHeight="1">
      <c r="A10" s="6"/>
      <c r="B10" s="7"/>
      <c r="C10" s="8"/>
      <c r="D10" s="8"/>
      <c r="E10" s="7"/>
      <c r="F10" s="7"/>
      <c r="G10" s="2" t="s">
        <v>198</v>
      </c>
      <c r="H10" s="147"/>
    </row>
    <row r="11" spans="1:12" ht="30.75" customHeight="1">
      <c r="A11" s="6"/>
      <c r="B11" s="7"/>
      <c r="C11" s="8"/>
      <c r="D11" s="8"/>
      <c r="E11" s="7"/>
      <c r="F11" s="7"/>
      <c r="G11" s="182" t="s">
        <v>213</v>
      </c>
      <c r="H11" s="181"/>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89" t="s">
        <v>10</v>
      </c>
      <c r="B20" s="183" t="s">
        <v>0</v>
      </c>
      <c r="C20" s="191" t="s">
        <v>11</v>
      </c>
      <c r="D20" s="193" t="s">
        <v>12</v>
      </c>
      <c r="E20" s="195" t="s">
        <v>5</v>
      </c>
      <c r="F20" s="183" t="s">
        <v>13</v>
      </c>
      <c r="G20" s="183" t="s">
        <v>14</v>
      </c>
      <c r="H20" s="185" t="s">
        <v>15</v>
      </c>
    </row>
    <row r="21" spans="1:8" s="14" customFormat="1" ht="29.25" customHeight="1" thickBot="1">
      <c r="A21" s="190"/>
      <c r="B21" s="184"/>
      <c r="C21" s="192"/>
      <c r="D21" s="194"/>
      <c r="E21" s="196"/>
      <c r="F21" s="184"/>
      <c r="G21" s="184"/>
      <c r="H21" s="186"/>
    </row>
    <row r="22" spans="1:8" ht="51" customHeight="1">
      <c r="A22" s="15">
        <v>1</v>
      </c>
      <c r="B22" s="152"/>
      <c r="C22" s="159"/>
      <c r="D22" s="160"/>
      <c r="E22" s="153"/>
      <c r="F22" s="154"/>
      <c r="G22" s="26"/>
      <c r="H22" s="27"/>
    </row>
    <row r="23" spans="1:8" ht="51" customHeight="1">
      <c r="A23" s="16">
        <v>2</v>
      </c>
      <c r="B23" s="152"/>
      <c r="C23" s="161"/>
      <c r="D23" s="160"/>
      <c r="E23" s="155"/>
      <c r="F23" s="156"/>
      <c r="G23" s="28"/>
      <c r="H23" s="29"/>
    </row>
    <row r="24" spans="1:8" ht="51" customHeight="1">
      <c r="A24" s="16">
        <v>3</v>
      </c>
      <c r="B24" s="152"/>
      <c r="C24" s="161"/>
      <c r="D24" s="160"/>
      <c r="E24" s="155"/>
      <c r="F24" s="156"/>
      <c r="G24" s="28"/>
      <c r="H24" s="29"/>
    </row>
    <row r="25" spans="1:8" ht="51" customHeight="1">
      <c r="A25" s="16">
        <v>4</v>
      </c>
      <c r="B25" s="152"/>
      <c r="C25" s="161"/>
      <c r="D25" s="160"/>
      <c r="E25" s="155"/>
      <c r="F25" s="156"/>
      <c r="G25" s="28"/>
      <c r="H25" s="29"/>
    </row>
    <row r="26" spans="1:8" ht="51" customHeight="1">
      <c r="A26" s="16">
        <v>5</v>
      </c>
      <c r="B26" s="152"/>
      <c r="C26" s="161"/>
      <c r="D26" s="160"/>
      <c r="E26" s="155"/>
      <c r="F26" s="156"/>
      <c r="G26" s="28"/>
      <c r="H26" s="29"/>
    </row>
    <row r="27" spans="1:8" ht="51" customHeight="1">
      <c r="A27" s="16">
        <v>6</v>
      </c>
      <c r="B27" s="152"/>
      <c r="C27" s="161"/>
      <c r="D27" s="160"/>
      <c r="E27" s="155"/>
      <c r="F27" s="156"/>
      <c r="G27" s="28"/>
      <c r="H27" s="29"/>
    </row>
    <row r="28" spans="1:8" ht="51" customHeight="1">
      <c r="A28" s="16">
        <v>7</v>
      </c>
      <c r="B28" s="152"/>
      <c r="C28" s="161"/>
      <c r="D28" s="160"/>
      <c r="E28" s="155"/>
      <c r="F28" s="156"/>
      <c r="G28" s="28"/>
      <c r="H28" s="29"/>
    </row>
    <row r="29" spans="1:8" ht="51" customHeight="1">
      <c r="A29" s="16">
        <v>8</v>
      </c>
      <c r="B29" s="152"/>
      <c r="C29" s="162"/>
      <c r="D29" s="160"/>
      <c r="E29" s="157"/>
      <c r="F29" s="158"/>
      <c r="G29" s="30"/>
      <c r="H29" s="31"/>
    </row>
    <row r="30" spans="1:8" ht="51" customHeight="1">
      <c r="A30" s="16">
        <v>9</v>
      </c>
      <c r="B30" s="152"/>
      <c r="C30" s="162"/>
      <c r="D30" s="160"/>
      <c r="E30" s="157"/>
      <c r="F30" s="158"/>
      <c r="G30" s="30"/>
      <c r="H30" s="31"/>
    </row>
    <row r="31" spans="1:8" ht="51" customHeight="1" thickBot="1">
      <c r="A31" s="16">
        <v>10</v>
      </c>
      <c r="B31" s="152"/>
      <c r="C31" s="162"/>
      <c r="D31" s="160"/>
      <c r="E31" s="157"/>
      <c r="F31" s="158"/>
      <c r="G31" s="30"/>
      <c r="H31" s="31"/>
    </row>
    <row r="32" spans="1:8" s="17" customFormat="1" ht="30" customHeight="1" thickBot="1">
      <c r="A32" s="187" t="s">
        <v>1</v>
      </c>
      <c r="B32" s="188"/>
      <c r="C32" s="163">
        <f>SUM(C22:C31)</f>
        <v>0</v>
      </c>
      <c r="D32" s="164">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B2"/>
  <sheetViews>
    <sheetView workbookViewId="0">
      <selection activeCell="G28" sqref="G28"/>
    </sheetView>
  </sheetViews>
  <sheetFormatPr defaultRowHeight="13.2"/>
  <sheetData>
    <row r="1" spans="1:2">
      <c r="A1" s="150" t="str">
        <f>IF(別紙4収益納付!A20="","",MAX(IF(別紙4収益納付!F20="","",ROUNDUP((別紙4収益納付!E20-別紙4収益納付!F20)*(別紙4収益納付!B20/別紙4収益納付!C20),0)),0))</f>
        <v/>
      </c>
      <c r="B1" s="150" t="str">
        <f>IF(別紙4収益納付!E20&gt;=別紙4収益納付!B20,別紙4収益納付!B20,別紙4収益納付!G20)</f>
        <v/>
      </c>
    </row>
    <row r="2" spans="1:2">
      <c r="A2" t="s">
        <v>202</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37"/>
  <sheetViews>
    <sheetView showGridLines="0" view="pageBreakPreview" zoomScale="85" zoomScaleNormal="85" zoomScaleSheetLayoutView="85" workbookViewId="0">
      <selection activeCell="E30" sqref="E30:I30"/>
    </sheetView>
  </sheetViews>
  <sheetFormatPr defaultColWidth="8.88671875" defaultRowHeight="13.2"/>
  <cols>
    <col min="1" max="1" width="4.109375" customWidth="1"/>
    <col min="2" max="3" width="9" customWidth="1"/>
    <col min="4" max="4" width="40.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60" t="s">
        <v>229</v>
      </c>
      <c r="G1" s="260"/>
      <c r="H1" s="260"/>
      <c r="I1" s="260"/>
      <c r="K1" s="49" t="str">
        <f>IF(OR(F1="３分の２以内",F1="定額"),"○","×")</f>
        <v>×</v>
      </c>
      <c r="L1" s="48" t="s">
        <v>50</v>
      </c>
      <c r="M1" s="144" t="str">
        <f>ExpenseCategoryList!E39</f>
        <v>2/3</v>
      </c>
      <c r="N1" s="151"/>
    </row>
    <row r="2" spans="1:14" ht="17.100000000000001" customHeight="1">
      <c r="A2" s="36"/>
      <c r="B2" s="36"/>
      <c r="C2" s="36"/>
      <c r="D2" s="36"/>
      <c r="E2" s="36"/>
      <c r="F2" s="260" t="s">
        <v>221</v>
      </c>
      <c r="G2" s="260"/>
      <c r="H2" s="260"/>
      <c r="I2" s="260"/>
      <c r="K2" s="49" t="str">
        <f>IF(OR(F2="直接被害（上限200万円）",F2="間接被害（上限100万円）"),"○","×")</f>
        <v>×</v>
      </c>
      <c r="L2" s="48"/>
      <c r="M2" s="166"/>
      <c r="N2" s="151"/>
    </row>
    <row r="3" spans="1:14" ht="17.100000000000001" customHeight="1">
      <c r="A3" s="261" t="s">
        <v>18</v>
      </c>
      <c r="B3" s="261"/>
      <c r="C3" s="261"/>
      <c r="D3" s="261"/>
      <c r="E3" s="261"/>
      <c r="F3" s="261"/>
      <c r="G3" s="261"/>
      <c r="H3" s="261"/>
      <c r="I3" s="261"/>
    </row>
    <row r="4" spans="1:14" ht="17.100000000000001" customHeight="1">
      <c r="A4" s="142"/>
      <c r="B4" s="142"/>
      <c r="C4" s="142"/>
      <c r="D4" s="142"/>
      <c r="E4" s="262" t="s">
        <v>19</v>
      </c>
      <c r="F4" s="262"/>
      <c r="G4" s="263" t="str">
        <f>IF(経費支出管理表!H3="","",経費支出管理表!H3)</f>
        <v/>
      </c>
      <c r="H4" s="263"/>
      <c r="I4" s="263"/>
    </row>
    <row r="5" spans="1:14" ht="17.100000000000001" customHeight="1">
      <c r="A5" s="142"/>
      <c r="B5" s="142"/>
      <c r="C5" s="142"/>
      <c r="D5" s="142"/>
      <c r="E5" s="264" t="s">
        <v>42</v>
      </c>
      <c r="F5" s="264"/>
      <c r="G5" s="263" t="str">
        <f>IF(経費支出管理表!H4="","",経費支出管理表!H4)</f>
        <v/>
      </c>
      <c r="H5" s="263"/>
      <c r="I5" s="263"/>
    </row>
    <row r="6" spans="1:14" ht="17.100000000000001" customHeight="1">
      <c r="A6" s="36"/>
      <c r="B6" s="36"/>
      <c r="C6" s="36"/>
      <c r="D6" s="36"/>
      <c r="E6" s="36"/>
      <c r="F6" s="37"/>
      <c r="G6" s="36"/>
      <c r="H6" s="38"/>
      <c r="I6" s="39" t="s">
        <v>20</v>
      </c>
    </row>
    <row r="7" spans="1:14" ht="21" customHeight="1">
      <c r="A7" s="265" t="s">
        <v>21</v>
      </c>
      <c r="B7" s="266"/>
      <c r="C7" s="266"/>
      <c r="D7" s="267"/>
      <c r="E7" s="265" t="s">
        <v>22</v>
      </c>
      <c r="F7" s="266"/>
      <c r="G7" s="266"/>
      <c r="H7" s="271"/>
      <c r="I7" s="272"/>
    </row>
    <row r="8" spans="1:14" ht="21" customHeight="1">
      <c r="A8" s="268"/>
      <c r="B8" s="269"/>
      <c r="C8" s="269"/>
      <c r="D8" s="270"/>
      <c r="E8" s="268"/>
      <c r="F8" s="269"/>
      <c r="G8" s="269"/>
      <c r="H8" s="273"/>
      <c r="I8" s="274"/>
    </row>
    <row r="9" spans="1:14" ht="17.100000000000001" customHeight="1">
      <c r="A9" s="275" t="s">
        <v>23</v>
      </c>
      <c r="B9" s="276"/>
      <c r="C9" s="276"/>
      <c r="D9" s="277"/>
      <c r="E9" s="228">
        <f>SUMIF(経費支出管理表!$B$22:$B$31,"１．機械装置等費",経費支出管理表!$D$22:$D$31)</f>
        <v>0</v>
      </c>
      <c r="F9" s="229"/>
      <c r="G9" s="229"/>
      <c r="H9" s="229"/>
      <c r="I9" s="230"/>
    </row>
    <row r="10" spans="1:14" ht="17.100000000000001" customHeight="1">
      <c r="A10" s="275" t="s">
        <v>24</v>
      </c>
      <c r="B10" s="276"/>
      <c r="C10" s="276"/>
      <c r="D10" s="277"/>
      <c r="E10" s="228">
        <f>SUMIF(経費支出管理表!$B$22:$B$31,"２．広報費",経費支出管理表!$D$22:$D$31)</f>
        <v>0</v>
      </c>
      <c r="F10" s="229"/>
      <c r="G10" s="229"/>
      <c r="H10" s="229"/>
      <c r="I10" s="230"/>
    </row>
    <row r="11" spans="1:14" ht="17.100000000000001" customHeight="1">
      <c r="A11" s="225" t="s">
        <v>31</v>
      </c>
      <c r="B11" s="278"/>
      <c r="C11" s="278"/>
      <c r="D11" s="279"/>
      <c r="E11" s="228">
        <f>SUMIF(経費支出管理表!$B$22:$B$31,"３．ウェブサイト関連費",経費支出管理表!$D$22:$D$31)</f>
        <v>0</v>
      </c>
      <c r="F11" s="229"/>
      <c r="G11" s="229"/>
      <c r="H11" s="229"/>
      <c r="I11" s="230"/>
    </row>
    <row r="12" spans="1:14" ht="17.100000000000001" customHeight="1">
      <c r="A12" s="225" t="s">
        <v>215</v>
      </c>
      <c r="B12" s="226"/>
      <c r="C12" s="226"/>
      <c r="D12" s="227"/>
      <c r="E12" s="228">
        <f>SUMIF(経費支出管理表!$B$22:$B$31,"４．展示会等出展費",経費支出管理表!$D$22:$D$31)</f>
        <v>0</v>
      </c>
      <c r="F12" s="229"/>
      <c r="G12" s="229"/>
      <c r="H12" s="229"/>
      <c r="I12" s="230"/>
    </row>
    <row r="13" spans="1:14" ht="17.100000000000001" customHeight="1">
      <c r="A13" s="225" t="s">
        <v>32</v>
      </c>
      <c r="B13" s="226"/>
      <c r="C13" s="226"/>
      <c r="D13" s="227"/>
      <c r="E13" s="228">
        <f>SUMIF(経費支出管理表!$B$22:$B$31,"５．旅費",経費支出管理表!$D$22:$D$31)</f>
        <v>0</v>
      </c>
      <c r="F13" s="229"/>
      <c r="G13" s="229"/>
      <c r="H13" s="229"/>
      <c r="I13" s="230"/>
    </row>
    <row r="14" spans="1:14" ht="17.100000000000001" customHeight="1">
      <c r="A14" s="225" t="s">
        <v>214</v>
      </c>
      <c r="B14" s="226"/>
      <c r="C14" s="226"/>
      <c r="D14" s="227"/>
      <c r="E14" s="228">
        <f>SUMIF(経費支出管理表!$B$22:$B$31,"６．新商品開発費",経費支出管理表!$D$22:$D$31)</f>
        <v>0</v>
      </c>
      <c r="F14" s="229"/>
      <c r="G14" s="229"/>
      <c r="H14" s="229"/>
      <c r="I14" s="230"/>
    </row>
    <row r="15" spans="1:14" ht="17.100000000000001" customHeight="1">
      <c r="A15" s="225" t="s">
        <v>33</v>
      </c>
      <c r="B15" s="226"/>
      <c r="C15" s="226"/>
      <c r="D15" s="227"/>
      <c r="E15" s="228">
        <f>SUMIF(経費支出管理表!$B$22:$B$31,"７．資料購入費",経費支出管理表!$D$22:$D$31)</f>
        <v>0</v>
      </c>
      <c r="F15" s="229"/>
      <c r="G15" s="229"/>
      <c r="H15" s="229"/>
      <c r="I15" s="230"/>
    </row>
    <row r="16" spans="1:14" ht="17.100000000000001" customHeight="1">
      <c r="A16" s="225" t="s">
        <v>216</v>
      </c>
      <c r="B16" s="226"/>
      <c r="C16" s="226"/>
      <c r="D16" s="227"/>
      <c r="E16" s="228">
        <f>SUMIF(経費支出管理表!$B$22:$B$31,"８．借料",経費支出管理表!$D$22:$D$31)</f>
        <v>0</v>
      </c>
      <c r="F16" s="229"/>
      <c r="G16" s="229"/>
      <c r="H16" s="229"/>
      <c r="I16" s="230"/>
    </row>
    <row r="17" spans="1:16" ht="17.100000000000001" customHeight="1">
      <c r="A17" s="225" t="s">
        <v>217</v>
      </c>
      <c r="B17" s="226"/>
      <c r="C17" s="226"/>
      <c r="D17" s="227"/>
      <c r="E17" s="228">
        <f>SUMIF(経費支出管理表!$B$22:$B$31,"９．設備処分費",経費支出管理表!$D$22:$D$31)</f>
        <v>0</v>
      </c>
      <c r="F17" s="229"/>
      <c r="G17" s="229"/>
      <c r="H17" s="229"/>
      <c r="I17" s="230"/>
    </row>
    <row r="18" spans="1:16" ht="17.100000000000001" customHeight="1">
      <c r="A18" s="225" t="s">
        <v>218</v>
      </c>
      <c r="B18" s="226"/>
      <c r="C18" s="226"/>
      <c r="D18" s="227"/>
      <c r="E18" s="228">
        <f>SUMIF(経費支出管理表!$B$22:$B$31,"10．委託・外注費",経費支出管理表!$D$22:$D$31)</f>
        <v>0</v>
      </c>
      <c r="F18" s="229"/>
      <c r="G18" s="229"/>
      <c r="H18" s="229"/>
      <c r="I18" s="230"/>
    </row>
    <row r="19" spans="1:16" ht="17.100000000000001" customHeight="1" thickBot="1">
      <c r="A19" s="231" t="s">
        <v>219</v>
      </c>
      <c r="B19" s="232"/>
      <c r="C19" s="232"/>
      <c r="D19" s="233"/>
      <c r="E19" s="234">
        <f>SUMIF(経費支出管理表!$B$22:$B$31,"11．車両購入費",経費支出管理表!$D$22:$D$31)</f>
        <v>0</v>
      </c>
      <c r="F19" s="235"/>
      <c r="G19" s="235"/>
      <c r="H19" s="235"/>
      <c r="I19" s="236"/>
    </row>
    <row r="20" spans="1:16" ht="17.100000000000001" customHeight="1" thickTop="1" thickBot="1">
      <c r="A20" s="240" t="s">
        <v>34</v>
      </c>
      <c r="B20" s="241"/>
      <c r="C20" s="241"/>
      <c r="D20" s="242"/>
      <c r="E20" s="243">
        <f>SUM(E9:I10)+SUM(E12:I19)</f>
        <v>0</v>
      </c>
      <c r="F20" s="244"/>
      <c r="G20" s="244"/>
      <c r="H20" s="244"/>
      <c r="I20" s="245"/>
    </row>
    <row r="21" spans="1:16" ht="17.100000000000001" customHeight="1" thickTop="1" thickBot="1">
      <c r="A21" s="240" t="s">
        <v>35</v>
      </c>
      <c r="B21" s="241"/>
      <c r="C21" s="241"/>
      <c r="D21" s="242"/>
      <c r="E21" s="243">
        <f>E11</f>
        <v>0</v>
      </c>
      <c r="F21" s="244"/>
      <c r="G21" s="244"/>
      <c r="H21" s="244"/>
      <c r="I21" s="245"/>
    </row>
    <row r="22" spans="1:16" ht="17.100000000000001" customHeight="1" thickTop="1" thickBot="1">
      <c r="A22" s="246" t="s">
        <v>36</v>
      </c>
      <c r="B22" s="247"/>
      <c r="C22" s="247"/>
      <c r="D22" s="248"/>
      <c r="E22" s="243">
        <f>SUM(E9:I19)</f>
        <v>0</v>
      </c>
      <c r="F22" s="249"/>
      <c r="G22" s="249"/>
      <c r="H22" s="249"/>
      <c r="I22" s="250"/>
    </row>
    <row r="23" spans="1:16" ht="17.100000000000001" customHeight="1" thickTop="1">
      <c r="A23" s="213" t="s">
        <v>37</v>
      </c>
      <c r="B23" s="251"/>
      <c r="C23" s="251"/>
      <c r="D23" s="252"/>
      <c r="E23" s="253"/>
      <c r="F23" s="254"/>
      <c r="G23" s="254"/>
      <c r="H23" s="254"/>
      <c r="I23" s="255"/>
    </row>
    <row r="24" spans="1:16" ht="17.100000000000001" customHeight="1" thickBot="1">
      <c r="A24" s="40" t="s">
        <v>25</v>
      </c>
      <c r="B24" s="23" t="s">
        <v>222</v>
      </c>
      <c r="C24" s="259" t="s">
        <v>26</v>
      </c>
      <c r="D24" s="259"/>
      <c r="E24" s="256"/>
      <c r="F24" s="257"/>
      <c r="G24" s="257"/>
      <c r="H24" s="257"/>
      <c r="I24" s="258"/>
      <c r="J24" s="41"/>
    </row>
    <row r="25" spans="1:16" ht="17.100000000000001" customHeight="1" thickTop="1" thickBot="1">
      <c r="A25" s="237" t="s">
        <v>225</v>
      </c>
      <c r="B25" s="238"/>
      <c r="C25" s="238"/>
      <c r="D25" s="239"/>
      <c r="E25" s="200">
        <f>ExpenseCategoryList!J20</f>
        <v>0</v>
      </c>
      <c r="F25" s="201"/>
      <c r="G25" s="201"/>
      <c r="H25" s="201"/>
      <c r="I25" s="202"/>
    </row>
    <row r="26" spans="1:16" ht="17.100000000000001" customHeight="1" thickTop="1" thickBot="1">
      <c r="A26" s="237" t="s">
        <v>226</v>
      </c>
      <c r="B26" s="238"/>
      <c r="C26" s="238"/>
      <c r="D26" s="239"/>
      <c r="E26" s="200">
        <f>ExpenseCategoryList!I16</f>
        <v>0</v>
      </c>
      <c r="F26" s="201"/>
      <c r="G26" s="201"/>
      <c r="H26" s="201"/>
      <c r="I26" s="202"/>
    </row>
    <row r="27" spans="1:16" ht="17.100000000000001" customHeight="1" thickTop="1" thickBot="1">
      <c r="A27" s="197" t="s">
        <v>38</v>
      </c>
      <c r="B27" s="198"/>
      <c r="C27" s="198"/>
      <c r="D27" s="199"/>
      <c r="E27" s="200">
        <f>SUM(E25:I26)</f>
        <v>0</v>
      </c>
      <c r="F27" s="201"/>
      <c r="G27" s="201"/>
      <c r="H27" s="201"/>
      <c r="I27" s="202"/>
      <c r="J27" t="str">
        <f>ExpenseCategoryList!E47</f>
        <v/>
      </c>
    </row>
    <row r="28" spans="1:16" ht="30" customHeight="1" thickTop="1" thickBot="1">
      <c r="A28" s="197" t="s">
        <v>39</v>
      </c>
      <c r="B28" s="198"/>
      <c r="C28" s="198"/>
      <c r="D28" s="199"/>
      <c r="E28" s="200">
        <f>経費支出管理表!H8</f>
        <v>0</v>
      </c>
      <c r="F28" s="201"/>
      <c r="G28" s="201"/>
      <c r="H28" s="201"/>
      <c r="I28" s="202"/>
    </row>
    <row r="29" spans="1:16" ht="17.100000000000001" customHeight="1" thickTop="1" thickBot="1">
      <c r="A29" s="197" t="s">
        <v>40</v>
      </c>
      <c r="B29" s="198"/>
      <c r="C29" s="198"/>
      <c r="D29" s="199"/>
      <c r="E29" s="200">
        <f>IF(E27&lt;=E28,E27,E28)</f>
        <v>0</v>
      </c>
      <c r="F29" s="201"/>
      <c r="G29" s="201"/>
      <c r="H29" s="201"/>
      <c r="I29" s="202"/>
      <c r="K29" s="43"/>
      <c r="L29" s="43"/>
      <c r="M29" s="43"/>
      <c r="N29" s="45"/>
      <c r="O29" s="46"/>
      <c r="P29" s="45"/>
    </row>
    <row r="30" spans="1:16" ht="17.100000000000001" customHeight="1" thickTop="1" thickBot="1">
      <c r="A30" s="206" t="s">
        <v>227</v>
      </c>
      <c r="B30" s="207"/>
      <c r="C30" s="207"/>
      <c r="D30" s="208"/>
      <c r="E30" s="209">
        <f>IF(別紙4収益納付!G20="",0,別紙4収益納付!G20)</f>
        <v>0</v>
      </c>
      <c r="F30" s="209"/>
      <c r="G30" s="209"/>
      <c r="H30" s="209"/>
      <c r="I30" s="209"/>
      <c r="K30" s="43"/>
      <c r="L30" s="43"/>
      <c r="M30" s="43"/>
      <c r="N30" s="44"/>
      <c r="O30" s="44"/>
      <c r="P30" s="44"/>
    </row>
    <row r="31" spans="1:16" ht="17.100000000000001" customHeight="1" thickTop="1" thickBot="1">
      <c r="A31" s="197" t="s">
        <v>41</v>
      </c>
      <c r="B31" s="210"/>
      <c r="C31" s="210"/>
      <c r="D31" s="211"/>
      <c r="E31" s="212">
        <f>E29-E30</f>
        <v>0</v>
      </c>
      <c r="F31" s="212"/>
      <c r="G31" s="212"/>
      <c r="H31" s="212"/>
      <c r="I31" s="212"/>
      <c r="K31" s="43"/>
      <c r="L31" s="43"/>
      <c r="M31" s="43"/>
    </row>
    <row r="32" spans="1:16" ht="17.100000000000001" customHeight="1" thickTop="1">
      <c r="A32" s="213" t="s">
        <v>228</v>
      </c>
      <c r="B32" s="214"/>
      <c r="C32" s="214"/>
      <c r="D32" s="215"/>
      <c r="E32" s="219" t="str">
        <f>IF(OR(E28="",E28=0),"いいえ",IF(E26&lt;=(E29/4),"はい","いいえ"))</f>
        <v>いいえ</v>
      </c>
      <c r="F32" s="220"/>
      <c r="G32" s="220"/>
      <c r="H32" s="220"/>
      <c r="I32" s="221"/>
      <c r="K32" s="43"/>
      <c r="L32" s="43"/>
      <c r="M32" s="43"/>
    </row>
    <row r="33" spans="1:14" ht="17.100000000000001" customHeight="1">
      <c r="A33" s="216"/>
      <c r="B33" s="217"/>
      <c r="C33" s="217"/>
      <c r="D33" s="218"/>
      <c r="E33" s="222" t="s">
        <v>26</v>
      </c>
      <c r="F33" s="223"/>
      <c r="G33" s="223"/>
      <c r="H33" s="223"/>
      <c r="I33" s="224"/>
      <c r="K33" s="43"/>
      <c r="L33" s="43"/>
      <c r="M33" s="43"/>
    </row>
    <row r="34" spans="1:14" ht="16.2">
      <c r="A34" s="203"/>
      <c r="B34" s="203"/>
      <c r="C34" s="203"/>
      <c r="D34" s="203"/>
      <c r="E34" s="203"/>
      <c r="F34" s="203"/>
      <c r="G34" s="203"/>
      <c r="H34" s="203"/>
      <c r="I34" s="203"/>
      <c r="K34" s="105" t="s">
        <v>94</v>
      </c>
      <c r="L34" s="108">
        <f>E29</f>
        <v>0</v>
      </c>
      <c r="M34" s="106" t="s">
        <v>78</v>
      </c>
      <c r="N34" s="107" t="str">
        <f xml:space="preserve"> ExpenseCategoryList!E40</f>
        <v>２／３</v>
      </c>
    </row>
    <row r="35" spans="1:14" ht="38.25" customHeight="1">
      <c r="A35" s="204" t="s">
        <v>223</v>
      </c>
      <c r="B35" s="204"/>
      <c r="C35" s="204"/>
      <c r="D35" s="204"/>
      <c r="E35" s="204"/>
      <c r="F35" s="204"/>
      <c r="G35" s="204"/>
      <c r="H35" s="204"/>
      <c r="I35" s="204"/>
      <c r="K35" s="148" t="str">
        <f>ExpenseCategoryList!E49 &amp; ExpenseCategoryList!E51</f>
        <v/>
      </c>
    </row>
    <row r="36" spans="1:14">
      <c r="A36" s="205" t="s">
        <v>224</v>
      </c>
      <c r="B36" s="205"/>
      <c r="C36" s="205"/>
      <c r="D36" s="205"/>
      <c r="E36" s="205"/>
      <c r="F36" s="205"/>
      <c r="G36" s="205"/>
      <c r="H36" s="205"/>
      <c r="I36" s="205"/>
    </row>
    <row r="37" spans="1:14">
      <c r="A37" s="205" t="s">
        <v>220</v>
      </c>
      <c r="B37" s="205"/>
      <c r="C37" s="205"/>
      <c r="D37" s="205"/>
      <c r="E37" s="205"/>
      <c r="F37" s="205"/>
      <c r="G37" s="205"/>
      <c r="H37" s="205"/>
      <c r="I37" s="205"/>
    </row>
  </sheetData>
  <sheetProtection sheet="1" selectLockedCells="1"/>
  <dataConsolidate/>
  <mergeCells count="61">
    <mergeCell ref="F2:I2"/>
    <mergeCell ref="A37:I37"/>
    <mergeCell ref="F1:I1"/>
    <mergeCell ref="A3:I3"/>
    <mergeCell ref="E4:F4"/>
    <mergeCell ref="G4:I4"/>
    <mergeCell ref="E5:F5"/>
    <mergeCell ref="G5:I5"/>
    <mergeCell ref="A7:D8"/>
    <mergeCell ref="E7: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19:D19"/>
    <mergeCell ref="E19:I19"/>
    <mergeCell ref="A26:D26"/>
    <mergeCell ref="E26:I26"/>
    <mergeCell ref="A20:D20"/>
    <mergeCell ref="E20:I20"/>
    <mergeCell ref="A21:D21"/>
    <mergeCell ref="E21:I21"/>
    <mergeCell ref="A22:D22"/>
    <mergeCell ref="E22:I22"/>
    <mergeCell ref="A23:D23"/>
    <mergeCell ref="E23:I24"/>
    <mergeCell ref="C24:D24"/>
    <mergeCell ref="A25:D25"/>
    <mergeCell ref="E25:I25"/>
    <mergeCell ref="A27:D27"/>
    <mergeCell ref="E27:I27"/>
    <mergeCell ref="A28:D28"/>
    <mergeCell ref="E28:I28"/>
    <mergeCell ref="A29:D29"/>
    <mergeCell ref="E29:I29"/>
    <mergeCell ref="A34:I34"/>
    <mergeCell ref="A35:I35"/>
    <mergeCell ref="A36:I36"/>
    <mergeCell ref="A30:D30"/>
    <mergeCell ref="E30:I30"/>
    <mergeCell ref="A31:D31"/>
    <mergeCell ref="E31:I31"/>
    <mergeCell ref="A32:D33"/>
    <mergeCell ref="E32:I32"/>
    <mergeCell ref="E33:I33"/>
  </mergeCells>
  <phoneticPr fontId="13"/>
  <conditionalFormatting sqref="B24">
    <cfRule type="containsText" dxfId="10" priority="2" operator="containsText" text="いいえ">
      <formula>NOT(ISERROR(SEARCH("いいえ",B24)))</formula>
    </cfRule>
    <cfRule type="containsText" dxfId="9" priority="3" operator="containsText" text="選択">
      <formula>NOT(ISERROR(SEARCH("選択",B24)))</formula>
    </cfRule>
    <cfRule type="containsBlanks" dxfId="8" priority="4">
      <formula>LEN(TRIM(B24))=0</formula>
    </cfRule>
  </conditionalFormatting>
  <conditionalFormatting sqref="E32:I32">
    <cfRule type="expression" dxfId="7" priority="7">
      <formula>E32="いいえ"</formula>
    </cfRule>
  </conditionalFormatting>
  <conditionalFormatting sqref="F1:F2">
    <cfRule type="containsText" dxfId="6" priority="6" operator="containsText" text="補助率を選択してください">
      <formula>NOT(ISERROR(SEARCH("補助率を選択してください",F1)))</formula>
    </cfRule>
  </conditionalFormatting>
  <conditionalFormatting sqref="F1:I2">
    <cfRule type="containsBlanks" dxfId="5" priority="5">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300-000000000000}">
      <formula1>"選択,はい,いいえ"</formula1>
    </dataValidation>
    <dataValidation allowBlank="1" showInputMessage="1" showErrorMessage="1" prompt="支出管理表に入力いただくと全て自動計算されます。" sqref="E9:E21 E22:I22 E31:I31 E27:I27 E29:I29" xr:uid="{00000000-0002-0000-0300-000001000000}"/>
    <dataValidation allowBlank="1" showInputMessage="1" showErrorMessage="1" prompt="支出管理表、上記入力項目に入力いただくと自動表示されます。" sqref="E32:I32" xr:uid="{00000000-0002-0000-0300-000002000000}"/>
    <dataValidation allowBlank="1" showInputMessage="1" showErrorMessage="1" promptTitle="自動判定されます" prompt="計算式が入力してありますので自動判定されます" sqref="N30:P30 K1:K2" xr:uid="{00000000-0002-0000-0300-000003000000}"/>
    <dataValidation type="list" showInputMessage="1" showErrorMessage="1" sqref="F1:I1" xr:uid="{00000000-0002-0000-0300-000004000000}">
      <formula1>"補助率を選択してください,３分の２以内,定額"</formula1>
    </dataValidation>
    <dataValidation type="list" showInputMessage="1" showErrorMessage="1" sqref="F2:I2" xr:uid="{00000000-0002-0000-0300-000005000000}">
      <formula1>"補助上限額を選択してください,直接被害（上限200万円）,間接被害（上限100万円）"</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93</v>
      </c>
      <c r="F2" s="111" t="s">
        <v>96</v>
      </c>
      <c r="G2" s="103" t="s">
        <v>97</v>
      </c>
      <c r="H2" s="113" t="s">
        <v>64</v>
      </c>
    </row>
    <row r="3" spans="4:25" ht="16.2">
      <c r="E3" s="143" t="str">
        <f>IF(OR(別紙３支出内訳書!F1="賃金引上げ枠（赤字事業者）",別紙３支出内訳書!F1="賃金引上げ枠（赤字事業者）+インボイス特例"),"☑","□")</f>
        <v>□</v>
      </c>
      <c r="F3" s="62">
        <f>別紙３支出内訳書!E20</f>
        <v>0</v>
      </c>
      <c r="G3" s="62">
        <f>別紙３支出内訳書!E21</f>
        <v>0</v>
      </c>
      <c r="H3" s="62">
        <f>IF(別紙３支出内訳書!F2="直接被害（上限200万円）",2000000,1000000)</f>
        <v>1000000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47</v>
      </c>
      <c r="E6" s="57"/>
      <c r="G6" s="58"/>
      <c r="H6" s="58"/>
      <c r="I6" s="58"/>
      <c r="J6" s="59"/>
      <c r="K6" s="59"/>
      <c r="Q6" s="60"/>
    </row>
    <row r="7" spans="4:25">
      <c r="D7" s="61"/>
      <c r="E7" s="59"/>
      <c r="F7" s="59"/>
      <c r="G7" s="58"/>
      <c r="H7" s="58"/>
      <c r="I7" s="59"/>
      <c r="J7" s="59"/>
      <c r="K7" s="59"/>
      <c r="L7" s="59" t="s">
        <v>48</v>
      </c>
      <c r="M7" s="59"/>
      <c r="N7" s="59" t="s">
        <v>48</v>
      </c>
      <c r="O7" s="59"/>
      <c r="P7" s="59"/>
      <c r="Q7" s="60"/>
    </row>
    <row r="8" spans="4:25">
      <c r="D8" s="61"/>
      <c r="E8" s="59" t="s">
        <v>49</v>
      </c>
      <c r="F8" s="62"/>
      <c r="G8" s="58" t="s">
        <v>50</v>
      </c>
      <c r="H8" s="58" t="str">
        <f>IF(別紙３支出内訳書!F1="定額","10/10","2/3")</f>
        <v>2/3</v>
      </c>
      <c r="I8" s="59"/>
      <c r="J8" s="59"/>
      <c r="K8" s="59"/>
      <c r="L8" s="59" t="s">
        <v>51</v>
      </c>
      <c r="M8" s="59"/>
      <c r="N8" s="59" t="s">
        <v>52</v>
      </c>
      <c r="O8" s="59"/>
      <c r="P8" s="59"/>
      <c r="Q8" s="60"/>
    </row>
    <row r="9" spans="4:25">
      <c r="D9" s="61"/>
      <c r="E9" s="59"/>
      <c r="F9" s="59"/>
      <c r="G9" s="58" t="s">
        <v>53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53</v>
      </c>
      <c r="H10" s="64" t="str">
        <f>"((6)の1/4を上限(最大50万円))、(c)×補助率 " &amp; H8 &amp; " (※)以内(円未満切捨て)"</f>
        <v>((6)の1/4を上限(最大50万円))、(c)×補助率 2/3 (※)以内(円未満切捨て)</v>
      </c>
      <c r="I10" s="58"/>
      <c r="J10" s="59"/>
      <c r="K10" s="59"/>
      <c r="L10" s="59"/>
      <c r="M10" s="59"/>
      <c r="N10" s="59" t="s">
        <v>54</v>
      </c>
      <c r="O10" s="59"/>
      <c r="P10" s="59" t="s">
        <v>55</v>
      </c>
      <c r="Q10" s="60"/>
    </row>
    <row r="11" spans="4:25">
      <c r="D11" s="61"/>
      <c r="E11" s="285" t="s">
        <v>56</v>
      </c>
      <c r="F11" s="65" t="s">
        <v>57</v>
      </c>
      <c r="G11" s="66" t="str">
        <f>IF(別紙３支出内訳書!F1="定額","a*10/10","a*2/3")</f>
        <v>a*2/3</v>
      </c>
      <c r="H11" s="100" t="str">
        <f>"(" &amp; IF(別紙３支出内訳書!F1="定額","a*10/10","a*2/3") &amp; ") /3"</f>
        <v>(a*2/3) /3</v>
      </c>
      <c r="I11" s="67" t="s">
        <v>58</v>
      </c>
      <c r="J11" s="59"/>
      <c r="K11" s="59"/>
      <c r="L11" s="67" t="s">
        <v>59</v>
      </c>
      <c r="M11" s="59"/>
      <c r="N11" s="67" t="s">
        <v>59</v>
      </c>
      <c r="O11" s="280" t="s">
        <v>45</v>
      </c>
      <c r="P11" s="67" t="s">
        <v>59</v>
      </c>
      <c r="Q11" s="60"/>
    </row>
    <row r="12" spans="4:25">
      <c r="D12" s="61">
        <v>12</v>
      </c>
      <c r="E12" s="285"/>
      <c r="F12" s="286">
        <f>F3</f>
        <v>0</v>
      </c>
      <c r="G12" s="68">
        <f>IF(別紙３支出内訳書!F1="定額",ROUNDDOWN(F12*10/10,0),ROUNDDOWN(F12*2/3,0))</f>
        <v>0</v>
      </c>
      <c r="H12" s="69">
        <f>ROUNDDOWN(G12/3,0)</f>
        <v>0</v>
      </c>
      <c r="I12" s="69">
        <f>G12</f>
        <v>0</v>
      </c>
      <c r="J12" s="70"/>
      <c r="K12" s="70"/>
      <c r="L12" s="69">
        <f>IF(I20&lt;=G20,I12,"")</f>
        <v>0</v>
      </c>
      <c r="M12" s="59"/>
      <c r="N12" s="69" t="str">
        <f>IF(I20&lt;=G20,"",IF(I12&gt;G20,G20,I12))</f>
        <v/>
      </c>
      <c r="O12" s="280"/>
      <c r="P12" s="69" t="str">
        <f>IF(I20&lt;=G20,"",G20-P16)</f>
        <v/>
      </c>
      <c r="Q12" s="60"/>
    </row>
    <row r="13" spans="4:25">
      <c r="D13" s="61">
        <v>13</v>
      </c>
      <c r="E13" s="285"/>
      <c r="F13" s="286"/>
      <c r="G13" s="71"/>
      <c r="H13" s="72">
        <f>ROUNDDOWN(G12/3,3)</f>
        <v>0</v>
      </c>
      <c r="I13" s="69"/>
      <c r="J13" s="70"/>
      <c r="K13" s="70"/>
      <c r="L13" s="69"/>
      <c r="M13" s="59"/>
      <c r="N13" s="69"/>
      <c r="O13" s="280"/>
      <c r="P13" s="69"/>
      <c r="Q13" s="60"/>
    </row>
    <row r="14" spans="4:25">
      <c r="D14" s="61">
        <v>14</v>
      </c>
      <c r="E14" s="285"/>
      <c r="F14" s="286"/>
      <c r="G14" s="71">
        <f>IF(別紙３支出内訳書!F1="定額",ROUNDDOWN(F12*10/10,3),ROUNDDOWN(F12*2/3,3)) - G12</f>
        <v>0</v>
      </c>
      <c r="H14" s="72">
        <f>H13-H12</f>
        <v>0</v>
      </c>
      <c r="I14" s="72">
        <f>G14</f>
        <v>0</v>
      </c>
      <c r="J14" s="70"/>
      <c r="K14" s="70"/>
      <c r="L14" s="69"/>
      <c r="M14" s="59"/>
      <c r="N14" s="69"/>
      <c r="O14" s="280"/>
      <c r="P14" s="69"/>
      <c r="Q14" s="60"/>
    </row>
    <row r="15" spans="4:25">
      <c r="D15" s="61">
        <v>15</v>
      </c>
      <c r="E15" s="287" t="s">
        <v>60</v>
      </c>
      <c r="F15" s="101" t="s">
        <v>61</v>
      </c>
      <c r="G15" s="102" t="str">
        <f>IF(別紙３支出内訳書!F1="定額","c*10/10","c*2/3")</f>
        <v>c*2/3</v>
      </c>
      <c r="H15" s="100" t="str">
        <f>IF(別紙３支出内訳書!F1="定額","a*1/3","a*2/9")</f>
        <v>a*2/9</v>
      </c>
      <c r="I15" s="100" t="s">
        <v>62</v>
      </c>
      <c r="J15" s="59"/>
      <c r="K15" s="59"/>
      <c r="L15" s="100" t="s">
        <v>63</v>
      </c>
      <c r="M15" s="59"/>
      <c r="N15" s="100" t="s">
        <v>63</v>
      </c>
      <c r="O15" s="280"/>
      <c r="P15" s="100" t="s">
        <v>63</v>
      </c>
      <c r="Q15" s="60"/>
    </row>
    <row r="16" spans="4:25">
      <c r="D16" s="61">
        <v>16</v>
      </c>
      <c r="E16" s="288"/>
      <c r="F16" s="286">
        <f>G3</f>
        <v>0</v>
      </c>
      <c r="G16" s="68">
        <f>IF(別紙３支出内訳書!F1="定額",ROUNDDOWN(F16*10/10,0),ROUNDDOWN(F16*2/3,0))</f>
        <v>0</v>
      </c>
      <c r="H16" s="73">
        <f>IF(別紙３支出内訳書!F1="定額",ROUNDDOWN(F12*1/3,0),ROUNDDOWN(F12*2/9,0))</f>
        <v>0</v>
      </c>
      <c r="I16" s="69">
        <f>IF(IF(G16&gt;H12,H12,G16)&gt;H20,H20,IF(G16&gt;H12,H12,G16))</f>
        <v>0</v>
      </c>
      <c r="J16" s="70"/>
      <c r="K16" s="70"/>
      <c r="L16" s="69">
        <f>IF(I20&lt;=G20,I16,"")</f>
        <v>0</v>
      </c>
      <c r="M16" t="str">
        <f>IF(L16="","",IF(L16*4&gt;L20,"×","〇"))</f>
        <v>〇</v>
      </c>
      <c r="N16" s="69" t="str">
        <f>IF(I20&lt;=G20,"",G20-N12)</f>
        <v/>
      </c>
      <c r="O16" s="280"/>
      <c r="P16" s="69" t="str">
        <f>IF(I20&lt;=G20,"",IF(ROUNDDOWN(G20/4,0)&gt;I16,I16,ROUNDDOWN(G20/4,0)))</f>
        <v/>
      </c>
      <c r="Q16" s="60"/>
    </row>
    <row r="17" spans="4:17">
      <c r="D17" s="61">
        <v>17</v>
      </c>
      <c r="E17" s="288"/>
      <c r="F17" s="286"/>
      <c r="G17" s="71">
        <f>IF(E3="☑",ROUNDDOWN(F16*3/4,3),ROUNDDOWN(F16*2/3,3))</f>
        <v>0</v>
      </c>
      <c r="H17" s="74">
        <f>IF(別紙３支出内訳書!F1="定額",ROUNDDOWN(F12*1/3,3),ROUNDDOWN(F12*2/9,3))</f>
        <v>0</v>
      </c>
      <c r="I17" s="72">
        <f>IF(IF(G17&gt;H13,H13,G17)&gt;H21,H21,IF(G17&gt;H13,H13,G17))</f>
        <v>0</v>
      </c>
      <c r="J17" s="70"/>
      <c r="K17" s="70"/>
      <c r="L17" s="69"/>
      <c r="N17" s="69"/>
      <c r="O17" s="280"/>
      <c r="P17" s="69"/>
      <c r="Q17" s="60"/>
    </row>
    <row r="18" spans="4:17" ht="13.8" thickBot="1">
      <c r="D18" s="61">
        <v>18</v>
      </c>
      <c r="E18" s="288"/>
      <c r="F18" s="286"/>
      <c r="G18" s="71">
        <f>G17-G16</f>
        <v>0</v>
      </c>
      <c r="H18" s="74">
        <f>H17-H16</f>
        <v>0</v>
      </c>
      <c r="I18" s="72">
        <f>IF(IF(G17&gt;H13,H13,G17)&gt;H21,H22,IF(G17&gt;H13,H14,G18))</f>
        <v>0</v>
      </c>
      <c r="J18" s="70"/>
      <c r="K18" s="70"/>
      <c r="L18" s="69"/>
      <c r="N18" s="69"/>
      <c r="O18" s="280"/>
      <c r="P18" s="69"/>
      <c r="Q18" s="60"/>
    </row>
    <row r="19" spans="4:17">
      <c r="D19" s="61">
        <v>19</v>
      </c>
      <c r="E19" s="59"/>
      <c r="F19" s="59"/>
      <c r="G19" s="98" t="s">
        <v>64</v>
      </c>
      <c r="H19" s="100" t="s">
        <v>65</v>
      </c>
      <c r="I19" s="97" t="s">
        <v>66</v>
      </c>
      <c r="J19" s="96" t="s">
        <v>67</v>
      </c>
      <c r="K19" s="59"/>
      <c r="L19" s="95" t="s">
        <v>67</v>
      </c>
      <c r="M19" s="59"/>
      <c r="N19" s="95" t="s">
        <v>67</v>
      </c>
      <c r="O19" s="280"/>
      <c r="P19" s="95" t="s">
        <v>67</v>
      </c>
      <c r="Q19" s="60"/>
    </row>
    <row r="20" spans="4:17">
      <c r="D20" s="61">
        <v>20</v>
      </c>
      <c r="E20" s="59"/>
      <c r="F20" s="59"/>
      <c r="G20" s="286">
        <f>H3</f>
        <v>1000000</v>
      </c>
      <c r="H20" s="75">
        <f>ROUNDDOWN(G20/4,0)</f>
        <v>250000</v>
      </c>
      <c r="I20" s="115">
        <f>I12+I16</f>
        <v>0</v>
      </c>
      <c r="J20" s="76">
        <f>IF(G20&gt;I20+J22,I20+J22,G20)</f>
        <v>0</v>
      </c>
      <c r="K20" s="77"/>
      <c r="L20" s="69">
        <f>IF(I20&lt;=G20,I20,"")</f>
        <v>0</v>
      </c>
      <c r="M20" s="59"/>
      <c r="N20" s="69" t="str">
        <f>IF(I20&lt;=G20,"",N12+N16)</f>
        <v/>
      </c>
      <c r="O20" s="280"/>
      <c r="P20" s="69" t="str">
        <f>IF(I20&lt;=G20,"",P12+P16)</f>
        <v/>
      </c>
      <c r="Q20" s="60"/>
    </row>
    <row r="21" spans="4:17">
      <c r="D21" s="61">
        <v>21</v>
      </c>
      <c r="E21" s="59"/>
      <c r="F21" s="59"/>
      <c r="G21" s="286"/>
      <c r="H21" s="78">
        <f>ROUNDDOWN(G20/4,3)</f>
        <v>250000</v>
      </c>
      <c r="I21" s="116"/>
      <c r="J21" s="79"/>
      <c r="K21" s="77"/>
      <c r="L21" s="58"/>
      <c r="M21" s="59"/>
      <c r="N21" s="58"/>
      <c r="O21" s="80"/>
      <c r="P21" s="58"/>
      <c r="Q21" s="60"/>
    </row>
    <row r="22" spans="4:17">
      <c r="D22" s="61">
        <v>22</v>
      </c>
      <c r="E22" s="59"/>
      <c r="F22" s="59"/>
      <c r="G22" s="286"/>
      <c r="H22" s="78">
        <f>H21-H20</f>
        <v>0</v>
      </c>
      <c r="I22" s="117">
        <f>I14+I18</f>
        <v>0</v>
      </c>
      <c r="J22" s="79">
        <f>IF(I22&gt;=1,1,0)</f>
        <v>0</v>
      </c>
      <c r="K22" s="77" t="s">
        <v>68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69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43</v>
      </c>
      <c r="F27" s="59"/>
      <c r="G27" s="59" t="s">
        <v>54</v>
      </c>
      <c r="H27" s="59"/>
      <c r="I27" s="59" t="s">
        <v>55</v>
      </c>
      <c r="J27" s="58"/>
      <c r="K27" s="87"/>
      <c r="L27" s="59"/>
      <c r="M27" s="59"/>
      <c r="N27" s="59"/>
      <c r="O27" s="59"/>
      <c r="P27" s="59"/>
      <c r="Q27" s="59"/>
    </row>
    <row r="28" spans="4:17">
      <c r="D28" s="61"/>
      <c r="E28" s="67" t="s">
        <v>59</v>
      </c>
      <c r="F28" s="59"/>
      <c r="G28" s="67" t="s">
        <v>59</v>
      </c>
      <c r="H28" s="280" t="s">
        <v>45</v>
      </c>
      <c r="I28" s="67" t="s">
        <v>59</v>
      </c>
      <c r="J28" s="58"/>
      <c r="K28" s="87"/>
      <c r="L28" s="59"/>
      <c r="M28" s="59"/>
      <c r="N28" s="59"/>
      <c r="O28" s="59"/>
      <c r="P28" s="59"/>
      <c r="Q28" s="59"/>
    </row>
    <row r="29" spans="4:17" ht="16.2">
      <c r="D29" s="109">
        <f>別紙３支出内訳書!E25</f>
        <v>0</v>
      </c>
      <c r="E29" s="88" t="str">
        <f>IF(別紙３支出内訳書!E25=0,"×",IF(別紙３支出内訳書!E25&lt;I29,"×",IF(別紙３支出内訳書!E25&gt;G29,"×","〇")))</f>
        <v>×</v>
      </c>
      <c r="F29">
        <v>29</v>
      </c>
      <c r="G29" s="69">
        <f>IF(I20&lt;=G20,I12,IF(I12&gt;G20,G20,I12))</f>
        <v>0</v>
      </c>
      <c r="H29" s="280"/>
      <c r="I29" s="69">
        <f>IF(I20&lt;=G20,I12,G20-P16)</f>
        <v>0</v>
      </c>
      <c r="J29" s="58"/>
      <c r="K29" s="87"/>
      <c r="L29" s="59"/>
      <c r="M29" s="59"/>
      <c r="N29" s="59"/>
      <c r="O29" s="59"/>
      <c r="P29" s="59"/>
      <c r="Q29" s="59"/>
    </row>
    <row r="30" spans="4:17">
      <c r="D30" s="61"/>
      <c r="E30" s="100" t="s">
        <v>63</v>
      </c>
      <c r="G30" s="100" t="s">
        <v>63</v>
      </c>
      <c r="H30" s="280"/>
      <c r="I30" s="100" t="s">
        <v>63</v>
      </c>
      <c r="K30" s="60"/>
    </row>
    <row r="31" spans="4:17" ht="16.2">
      <c r="D31" s="109">
        <f>別紙３支出内訳書!E26</f>
        <v>0</v>
      </c>
      <c r="E31" s="88" t="str">
        <f>IF(別紙３支出内訳書!E26&gt;I31,"×",IF(別紙３支出内訳書!E26&lt;G31,"×","〇"))</f>
        <v>〇</v>
      </c>
      <c r="F31">
        <v>30</v>
      </c>
      <c r="G31" s="69">
        <f>IF(I20&lt;=G20,I16,G20-N12)</f>
        <v>0</v>
      </c>
      <c r="H31" s="280"/>
      <c r="I31" s="69">
        <f>IF(I20&lt;=G20,I16,IF(ROUNDDOWN(G20/4,0)&gt;I16,I16,ROUNDDOWN(G20/4,0)))</f>
        <v>0</v>
      </c>
      <c r="K31" s="60"/>
    </row>
    <row r="32" spans="4:17">
      <c r="D32" s="61"/>
      <c r="E32" s="95" t="s">
        <v>67</v>
      </c>
      <c r="G32" s="95" t="s">
        <v>67</v>
      </c>
      <c r="H32" s="280"/>
      <c r="I32" s="95" t="s">
        <v>67</v>
      </c>
      <c r="K32" s="60"/>
    </row>
    <row r="33" spans="4:11" ht="16.2">
      <c r="D33" s="61">
        <v>33</v>
      </c>
      <c r="E33" s="88" t="str">
        <f>IF(別紙３支出内訳書!E31&lt;0,"×","〇")</f>
        <v>〇</v>
      </c>
      <c r="F33">
        <v>33</v>
      </c>
      <c r="G33" s="69">
        <f>IF(I20&lt;=G20,I20,N12+N16)</f>
        <v>0</v>
      </c>
      <c r="H33" s="280"/>
      <c r="I33" s="69">
        <f>IF(I20&lt;=G20,I20,I29+I31)</f>
        <v>0</v>
      </c>
      <c r="K33" s="60"/>
    </row>
    <row r="34" spans="4:11" ht="16.2">
      <c r="D34" s="99" t="s">
        <v>46</v>
      </c>
      <c r="E34" s="88" t="str">
        <f>IF(別紙３支出内訳書!E25="","×",
    IF(別紙３支出内訳書!E25=0,"×",
    IF(別紙３支出内訳書!E27&lt;別紙３支出内訳書!E26*4,"×","〇")))</f>
        <v>×</v>
      </c>
      <c r="K34" s="60"/>
    </row>
    <row r="35" spans="4:11">
      <c r="D35" s="61"/>
      <c r="K35" s="60"/>
    </row>
    <row r="36" spans="4:11">
      <c r="D36" s="61"/>
      <c r="G36" s="50" t="s">
        <v>70</v>
      </c>
      <c r="H36" s="50"/>
      <c r="I36" s="281" t="s">
        <v>44</v>
      </c>
      <c r="J36" s="282"/>
      <c r="K36" s="60"/>
    </row>
    <row r="37" spans="4:11">
      <c r="D37" s="61" t="s">
        <v>71</v>
      </c>
      <c r="E37" s="110">
        <f>別紙３支出内訳書!E29</f>
        <v>0</v>
      </c>
      <c r="F37" s="89" t="s">
        <v>72</v>
      </c>
      <c r="G37" s="50" t="s">
        <v>73</v>
      </c>
      <c r="H37" s="114">
        <f>別紙３支出内訳書!E20</f>
        <v>0</v>
      </c>
      <c r="I37" s="283" t="s">
        <v>74</v>
      </c>
      <c r="J37" s="284"/>
      <c r="K37" s="60"/>
    </row>
    <row r="38" spans="4:11">
      <c r="D38" s="61" t="s">
        <v>75</v>
      </c>
      <c r="E38" s="104" t="str">
        <f>DBCS(TEXT(E37,"##,##0")) &amp; "円"</f>
        <v>０円</v>
      </c>
      <c r="F38" s="89" t="s">
        <v>76</v>
      </c>
      <c r="G38" s="50" t="s">
        <v>77</v>
      </c>
      <c r="H38" s="69">
        <f>別紙３支出内訳書!E25</f>
        <v>0</v>
      </c>
      <c r="I38" s="90">
        <f>IF(AND(H37=0,H38=0),0,IF(OR(H37=0,H37=""),"",ROUNDDOWN(H38*100/H37,2)))</f>
        <v>0</v>
      </c>
      <c r="J38" s="50" t="str">
        <f>IF(H38="","",IF(I38="","",TEXT(I38,"##0.00")&amp;"%"))</f>
        <v>0.00%</v>
      </c>
      <c r="K38" s="60"/>
    </row>
    <row r="39" spans="4:11">
      <c r="D39" s="61" t="s">
        <v>78</v>
      </c>
      <c r="E39" s="58" t="str">
        <f>IF(別紙３支出内訳書!F1="定額","10/10","2/3")</f>
        <v>2/3</v>
      </c>
      <c r="F39" s="89" t="s">
        <v>79</v>
      </c>
      <c r="G39" s="50" t="s">
        <v>80</v>
      </c>
      <c r="H39" s="114">
        <f>別紙３支出内訳書!E21</f>
        <v>0</v>
      </c>
      <c r="I39" s="283" t="s">
        <v>81</v>
      </c>
      <c r="J39" s="284"/>
      <c r="K39" s="60"/>
    </row>
    <row r="40" spans="4:11">
      <c r="D40" s="61" t="s">
        <v>75</v>
      </c>
      <c r="E40" s="104" t="str">
        <f>DBCS(E39)</f>
        <v>２／３</v>
      </c>
      <c r="F40" s="89" t="s">
        <v>82</v>
      </c>
      <c r="G40" s="50" t="s">
        <v>83</v>
      </c>
      <c r="H40" s="79">
        <f>IF(H39=0,0,H42-H38)</f>
        <v>0</v>
      </c>
      <c r="I40" s="90" t="str">
        <f>IF(H41=0,"",IF(AND(H39=0,H40=0),0,IF(OR(H39=0,H39=""),"",ROUNDDOWN(H40*100/H39,2))))</f>
        <v/>
      </c>
      <c r="J40" s="50" t="str">
        <f>IF(H38="","",IF(I40="","",TEXT(I40,"##0.00")&amp;"%"))</f>
        <v/>
      </c>
      <c r="K40" s="60"/>
    </row>
    <row r="41" spans="4:11">
      <c r="D41" s="61"/>
      <c r="F41" s="89" t="s">
        <v>84</v>
      </c>
      <c r="G41" s="91" t="s">
        <v>85</v>
      </c>
      <c r="H41" s="114">
        <f>別紙３支出内訳書!E22</f>
        <v>0</v>
      </c>
      <c r="I41" s="283" t="s">
        <v>86</v>
      </c>
      <c r="J41" s="284"/>
      <c r="K41" s="60"/>
    </row>
    <row r="42" spans="4:11">
      <c r="D42" s="61"/>
      <c r="F42" s="89" t="s">
        <v>87</v>
      </c>
      <c r="G42" s="50" t="s">
        <v>88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89</v>
      </c>
      <c r="K46" s="60"/>
    </row>
    <row r="47" spans="4:11">
      <c r="D47" s="94" t="s">
        <v>90</v>
      </c>
      <c r="E47" s="104" t="str">
        <f>IF(J22=0,"","※")</f>
        <v/>
      </c>
      <c r="K47" s="60"/>
    </row>
    <row r="48" spans="4:11">
      <c r="D48" s="56"/>
      <c r="K48" s="60"/>
    </row>
    <row r="49" spans="4:11">
      <c r="D49" s="61" t="s">
        <v>91</v>
      </c>
      <c r="E49" s="104" t="str">
        <f>IF(F16=0,"",IF(F12=0,"ウェブサイト関連費のみでの申請はできません",""))</f>
        <v/>
      </c>
      <c r="K49" s="60"/>
    </row>
    <row r="50" spans="4:11">
      <c r="D50" s="61"/>
      <c r="K50" s="60"/>
    </row>
    <row r="51" spans="4:11">
      <c r="D51" s="61" t="s">
        <v>92</v>
      </c>
      <c r="E51" s="104" t="str">
        <f>IF(別紙３支出内訳書!E17*2&lt;=別紙３支出内訳書!E22,"","設備処分費が、補助対象経費合計（上記１．～１１．）（⑤）の1/2を超えています")</f>
        <v/>
      </c>
      <c r="K51" s="60"/>
    </row>
    <row r="52" spans="4:11">
      <c r="D52" s="61"/>
      <c r="K52" s="60"/>
    </row>
    <row r="53" spans="4:11">
      <c r="D53" s="61" t="s">
        <v>95</v>
      </c>
      <c r="E53" s="110">
        <f>別紙３支出内訳書!E17</f>
        <v>0</v>
      </c>
      <c r="K53" s="60"/>
    </row>
    <row r="54" spans="4:11">
      <c r="D54" s="61"/>
      <c r="K54" s="60"/>
    </row>
    <row r="55" spans="4:11">
      <c r="D55" s="61"/>
      <c r="K55" s="60"/>
    </row>
    <row r="56" spans="4:11">
      <c r="D56" s="61"/>
      <c r="K56" s="6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F13" sqref="F13"/>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290" t="s">
        <v>122</v>
      </c>
      <c r="B1" s="290"/>
      <c r="C1" s="290"/>
      <c r="D1" s="290"/>
      <c r="E1" s="290"/>
      <c r="F1" s="290"/>
      <c r="G1" s="290"/>
    </row>
    <row r="2" spans="1:7" ht="14.4">
      <c r="A2" s="122"/>
    </row>
    <row r="3" spans="1:7" ht="14.4">
      <c r="A3" s="289" t="s">
        <v>123</v>
      </c>
      <c r="B3" s="289"/>
      <c r="C3" s="289"/>
      <c r="D3" s="289"/>
      <c r="E3" s="289"/>
      <c r="F3" s="289"/>
      <c r="G3" s="289"/>
    </row>
    <row r="4" spans="1:7" ht="14.4">
      <c r="A4" s="122"/>
    </row>
    <row r="5" spans="1:7" ht="17.25" customHeight="1">
      <c r="E5" s="123" t="s">
        <v>124</v>
      </c>
      <c r="F5" s="291" t="str">
        <f>IF(経費支出管理表!H3="","",経費支出管理表!H3)</f>
        <v/>
      </c>
      <c r="G5" s="291"/>
    </row>
    <row r="6" spans="1:7" ht="17.25" customHeight="1">
      <c r="E6" s="123" t="s">
        <v>125</v>
      </c>
      <c r="F6" s="292" t="str">
        <f>IF(経費支出管理表!H4="","",経費支出管理表!H4)</f>
        <v/>
      </c>
      <c r="G6" s="292"/>
    </row>
    <row r="7" spans="1:7" ht="14.4">
      <c r="A7" s="122"/>
    </row>
    <row r="8" spans="1:7" ht="68.25" customHeight="1">
      <c r="A8" s="293" t="s">
        <v>205</v>
      </c>
      <c r="B8" s="293"/>
      <c r="C8" s="293"/>
      <c r="D8" s="293"/>
      <c r="E8" s="293"/>
      <c r="F8" s="293"/>
      <c r="G8" s="293"/>
    </row>
    <row r="9" spans="1:7" ht="14.4">
      <c r="A9" s="122"/>
    </row>
    <row r="10" spans="1:7" ht="14.4">
      <c r="A10" s="289" t="s">
        <v>126</v>
      </c>
      <c r="B10" s="289"/>
      <c r="C10" s="289"/>
      <c r="D10" s="289"/>
      <c r="E10" s="289"/>
      <c r="F10" s="289"/>
      <c r="G10" s="289"/>
    </row>
    <row r="11" spans="1:7" ht="14.4">
      <c r="A11" s="122"/>
    </row>
    <row r="12" spans="1:7" ht="14.4">
      <c r="A12" s="290" t="s">
        <v>127</v>
      </c>
      <c r="B12" s="290"/>
      <c r="C12" s="290"/>
      <c r="D12" s="290"/>
      <c r="E12" s="290"/>
      <c r="F12" s="290"/>
      <c r="G12" s="290"/>
    </row>
    <row r="13" spans="1:7" ht="14.4">
      <c r="A13" s="122"/>
    </row>
    <row r="14" spans="1:7" ht="14.4">
      <c r="A14" s="290" t="s">
        <v>128</v>
      </c>
      <c r="B14" s="290"/>
      <c r="C14" s="290"/>
      <c r="D14" s="290"/>
      <c r="E14" s="124" t="s">
        <v>129</v>
      </c>
      <c r="F14" s="124" t="s">
        <v>130</v>
      </c>
      <c r="G14" s="124"/>
    </row>
    <row r="15" spans="1:7" ht="14.4">
      <c r="A15" s="290" t="s">
        <v>131</v>
      </c>
      <c r="B15" s="290"/>
      <c r="C15" s="290"/>
      <c r="D15" s="290"/>
      <c r="E15" s="124" t="s">
        <v>129</v>
      </c>
      <c r="F15" s="124" t="s">
        <v>130</v>
      </c>
      <c r="G15" s="124"/>
    </row>
    <row r="16" spans="1:7" ht="14.4">
      <c r="A16" s="290" t="s">
        <v>132</v>
      </c>
      <c r="B16" s="290"/>
      <c r="C16" s="290"/>
      <c r="D16" s="290"/>
      <c r="E16" s="124" t="s">
        <v>129</v>
      </c>
      <c r="F16" s="124" t="s">
        <v>130</v>
      </c>
      <c r="G16" s="124"/>
    </row>
    <row r="17" spans="1:7" ht="14.4">
      <c r="A17" s="122"/>
    </row>
    <row r="18" spans="1:7" ht="14.4">
      <c r="A18" s="125"/>
      <c r="G18" s="36" t="s">
        <v>133</v>
      </c>
    </row>
    <row r="19" spans="1:7" ht="21.6">
      <c r="A19" s="126" t="s">
        <v>134</v>
      </c>
      <c r="B19" s="126" t="s">
        <v>135</v>
      </c>
      <c r="C19" s="126" t="s">
        <v>136</v>
      </c>
      <c r="D19" s="126" t="s">
        <v>137</v>
      </c>
      <c r="E19" s="126" t="s">
        <v>138</v>
      </c>
      <c r="F19" s="126" t="s">
        <v>139</v>
      </c>
      <c r="G19" s="126" t="s">
        <v>140</v>
      </c>
    </row>
    <row r="20" spans="1:7" ht="56.25" customHeight="1">
      <c r="A20" s="306"/>
      <c r="B20" s="307" t="str">
        <f>IF(A20="","",IF(別紙３支出内訳書!E29=0,"",別紙３支出内訳書!E29))</f>
        <v/>
      </c>
      <c r="C20" s="307" t="str">
        <f>IF(A20="","",IF(別紙３支出内訳書!E22=0,"",別紙３支出内訳書!E22))</f>
        <v/>
      </c>
      <c r="D20" s="307"/>
      <c r="E20" s="307"/>
      <c r="F20" s="307" t="str">
        <f>IF(A20="","",IF(C20="","",C20-B20))</f>
        <v/>
      </c>
      <c r="G20" s="307" t="str">
        <f>IF(A20="","",MAX(IF(F20="","",ROUNDUP((E20-F20)*(B20/C20),0)),0))</f>
        <v/>
      </c>
    </row>
    <row r="21" spans="1:7" ht="14.4">
      <c r="A21" s="122"/>
    </row>
    <row r="22" spans="1:7" ht="16.5" customHeight="1">
      <c r="A22" s="295" t="s">
        <v>141</v>
      </c>
      <c r="B22" s="295"/>
      <c r="C22" s="295"/>
      <c r="D22" s="295"/>
      <c r="E22" s="295"/>
      <c r="F22" s="295"/>
      <c r="G22" s="295"/>
    </row>
    <row r="23" spans="1:7" ht="16.5" customHeight="1">
      <c r="A23" s="295" t="s">
        <v>142</v>
      </c>
      <c r="B23" s="295"/>
      <c r="C23" s="295"/>
      <c r="D23" s="295"/>
      <c r="E23" s="295"/>
      <c r="F23" s="295"/>
      <c r="G23" s="295"/>
    </row>
    <row r="24" spans="1:7" ht="16.5" customHeight="1">
      <c r="A24" s="295" t="s">
        <v>143</v>
      </c>
      <c r="B24" s="295"/>
      <c r="C24" s="295"/>
      <c r="D24" s="295"/>
      <c r="E24" s="295"/>
      <c r="F24" s="295"/>
      <c r="G24" s="295"/>
    </row>
    <row r="25" spans="1:7" ht="16.5" customHeight="1">
      <c r="A25" s="295" t="s">
        <v>144</v>
      </c>
      <c r="B25" s="295"/>
      <c r="C25" s="295"/>
      <c r="D25" s="295"/>
      <c r="E25" s="295"/>
      <c r="F25" s="295"/>
      <c r="G25" s="295"/>
    </row>
    <row r="26" spans="1:7" ht="16.5" customHeight="1">
      <c r="A26" s="295" t="s">
        <v>145</v>
      </c>
      <c r="B26" s="295"/>
      <c r="C26" s="295"/>
      <c r="D26" s="295"/>
      <c r="E26" s="295"/>
      <c r="F26" s="295"/>
      <c r="G26" s="295"/>
    </row>
    <row r="27" spans="1:7" ht="16.5" customHeight="1">
      <c r="A27" s="127" t="s">
        <v>146</v>
      </c>
      <c r="B27" s="127"/>
      <c r="C27" s="127"/>
      <c r="D27" s="127"/>
      <c r="E27" s="127"/>
      <c r="F27" s="127"/>
      <c r="G27" s="127"/>
    </row>
    <row r="28" spans="1:7" ht="16.5" customHeight="1">
      <c r="A28" s="295" t="s">
        <v>147</v>
      </c>
      <c r="B28" s="295"/>
      <c r="C28" s="295"/>
      <c r="D28" s="295"/>
      <c r="E28" s="295"/>
      <c r="F28" s="295"/>
      <c r="G28" s="295"/>
    </row>
    <row r="29" spans="1:7" ht="16.5" customHeight="1">
      <c r="A29" s="295" t="s">
        <v>148</v>
      </c>
      <c r="B29" s="295"/>
      <c r="C29" s="295"/>
      <c r="D29" s="295"/>
      <c r="E29" s="295"/>
      <c r="F29" s="295"/>
      <c r="G29" s="295"/>
    </row>
    <row r="30" spans="1:7" ht="16.5" customHeight="1">
      <c r="A30" s="294" t="s">
        <v>149</v>
      </c>
      <c r="B30" s="294"/>
      <c r="C30" s="294"/>
      <c r="D30" s="294"/>
      <c r="E30" s="294"/>
      <c r="F30" s="294"/>
      <c r="G30" s="294"/>
    </row>
    <row r="31" spans="1:7" ht="16.5" customHeight="1">
      <c r="A31" s="295" t="s">
        <v>150</v>
      </c>
      <c r="B31" s="295"/>
      <c r="C31" s="295"/>
      <c r="D31" s="295"/>
      <c r="E31" s="295"/>
      <c r="F31" s="295"/>
      <c r="G31" s="295"/>
    </row>
    <row r="32" spans="1:7" ht="16.5" customHeight="1">
      <c r="A32" s="295" t="s">
        <v>151</v>
      </c>
      <c r="B32" s="295"/>
      <c r="C32" s="295"/>
      <c r="D32" s="295"/>
      <c r="E32" s="295"/>
      <c r="F32" s="295"/>
      <c r="G32" s="295"/>
    </row>
    <row r="33" spans="1:7" ht="16.5" customHeight="1">
      <c r="A33" s="295" t="s">
        <v>152</v>
      </c>
      <c r="B33" s="295"/>
      <c r="C33" s="295"/>
      <c r="D33" s="295"/>
      <c r="E33" s="295"/>
      <c r="F33" s="295"/>
      <c r="G33" s="295"/>
    </row>
    <row r="34" spans="1:7" ht="16.5" customHeight="1">
      <c r="A34" s="295" t="s">
        <v>153</v>
      </c>
      <c r="B34" s="295"/>
      <c r="C34" s="295"/>
      <c r="D34" s="295"/>
      <c r="E34" s="295"/>
      <c r="F34" s="295"/>
      <c r="G34" s="295"/>
    </row>
    <row r="35" spans="1:7" ht="16.5" customHeight="1">
      <c r="A35" s="295" t="s">
        <v>154</v>
      </c>
      <c r="B35" s="295"/>
      <c r="C35" s="295"/>
      <c r="D35" s="295"/>
      <c r="E35" s="295"/>
      <c r="F35" s="295"/>
      <c r="G35" s="295"/>
    </row>
    <row r="36" spans="1:7" ht="16.5" customHeight="1">
      <c r="A36" s="295" t="s">
        <v>155</v>
      </c>
      <c r="B36" s="295"/>
      <c r="C36" s="295"/>
      <c r="D36" s="295"/>
      <c r="E36" s="295"/>
      <c r="F36" s="295"/>
      <c r="G36" s="295"/>
    </row>
    <row r="37" spans="1:7" ht="16.5" customHeight="1">
      <c r="A37" s="295" t="s">
        <v>156</v>
      </c>
      <c r="B37" s="295"/>
      <c r="C37" s="295"/>
      <c r="D37" s="295"/>
      <c r="E37" s="295"/>
      <c r="F37" s="295"/>
      <c r="G37" s="295"/>
    </row>
  </sheetData>
  <sheetProtection sheet="1" objects="1" scenarios="1"/>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G6" sqref="G6:H6"/>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296"/>
      <c r="B1" s="296"/>
      <c r="C1" s="296"/>
      <c r="D1" s="296"/>
      <c r="E1" s="296"/>
      <c r="F1" s="296"/>
      <c r="G1" s="296"/>
      <c r="H1" s="296"/>
    </row>
    <row r="2" spans="1:8" ht="14.4">
      <c r="A2" s="290" t="s">
        <v>161</v>
      </c>
      <c r="B2" s="290"/>
      <c r="C2" s="290"/>
      <c r="D2" s="290"/>
      <c r="E2" s="290"/>
      <c r="F2" s="290"/>
      <c r="G2" s="290"/>
      <c r="H2" s="290"/>
    </row>
    <row r="3" spans="1:8" ht="14.4">
      <c r="A3" s="122"/>
    </row>
    <row r="4" spans="1:8" ht="14.4">
      <c r="A4" s="297" t="s">
        <v>162</v>
      </c>
      <c r="B4" s="297"/>
      <c r="C4" s="297"/>
      <c r="D4" s="297"/>
      <c r="E4" s="297"/>
      <c r="F4" s="297"/>
      <c r="G4" s="297"/>
      <c r="H4" s="297"/>
    </row>
    <row r="6" spans="1:8" s="36" customFormat="1" ht="17.25" customHeight="1">
      <c r="F6" s="123" t="s">
        <v>124</v>
      </c>
      <c r="G6" s="298" t="str">
        <f>IF(経費支出管理表!H3="","",経費支出管理表!H3)</f>
        <v/>
      </c>
      <c r="H6" s="298"/>
    </row>
    <row r="7" spans="1:8" s="36" customFormat="1" ht="17.25" customHeight="1">
      <c r="F7" s="123" t="s">
        <v>125</v>
      </c>
      <c r="G7" s="298" t="str">
        <f>IF(経費支出管理表!H4="","",経費支出管理表!H4)</f>
        <v/>
      </c>
      <c r="H7" s="298"/>
    </row>
    <row r="8" spans="1:8" ht="14.4">
      <c r="A8" s="122"/>
    </row>
    <row r="9" spans="1:8">
      <c r="A9" s="130"/>
    </row>
    <row r="10" spans="1:8">
      <c r="A10" s="130"/>
    </row>
    <row r="11" spans="1:8" ht="14.4">
      <c r="A11" s="122"/>
    </row>
    <row r="12" spans="1:8" ht="14.4">
      <c r="H12" s="131" t="s">
        <v>20</v>
      </c>
    </row>
    <row r="13" spans="1:8" ht="28.8">
      <c r="A13" s="132" t="s">
        <v>163</v>
      </c>
      <c r="B13" s="133" t="s">
        <v>164</v>
      </c>
      <c r="C13" s="133" t="s">
        <v>165</v>
      </c>
      <c r="D13" s="133" t="s">
        <v>166</v>
      </c>
      <c r="E13" s="133" t="s">
        <v>167</v>
      </c>
      <c r="F13" s="133" t="s">
        <v>168</v>
      </c>
      <c r="G13" s="133" t="s">
        <v>169</v>
      </c>
      <c r="H13" s="133" t="s">
        <v>170</v>
      </c>
    </row>
    <row r="14" spans="1:8" ht="108.6" customHeight="1">
      <c r="A14" s="308"/>
      <c r="B14" s="308"/>
      <c r="C14" s="308"/>
      <c r="D14" s="309"/>
      <c r="E14" s="310" t="str">
        <f>IF((C14*D14)&lt;&gt;0,(C14*D14),"")</f>
        <v/>
      </c>
      <c r="F14" s="311"/>
      <c r="G14" s="308"/>
      <c r="H14" s="308"/>
    </row>
    <row r="15" spans="1:8" ht="14.4">
      <c r="A15" s="122"/>
    </row>
    <row r="16" spans="1:8" ht="14.4">
      <c r="A16" s="290" t="s">
        <v>206</v>
      </c>
      <c r="B16" s="290"/>
      <c r="C16" s="290"/>
      <c r="D16" s="290"/>
      <c r="E16" s="290"/>
      <c r="F16" s="290"/>
      <c r="G16" s="290"/>
      <c r="H16" s="290"/>
    </row>
    <row r="17" spans="1:8" ht="14.4">
      <c r="A17" s="290" t="s">
        <v>207</v>
      </c>
      <c r="B17" s="290"/>
      <c r="C17" s="290"/>
      <c r="D17" s="290"/>
      <c r="E17" s="290"/>
      <c r="F17" s="290"/>
      <c r="G17" s="290"/>
      <c r="H17" s="290"/>
    </row>
    <row r="18" spans="1:8" ht="14.4">
      <c r="A18" s="290" t="s">
        <v>171</v>
      </c>
      <c r="B18" s="290"/>
      <c r="C18" s="290"/>
      <c r="D18" s="290"/>
      <c r="E18" s="290"/>
      <c r="F18" s="290"/>
      <c r="G18" s="290"/>
      <c r="H18" s="290"/>
    </row>
    <row r="19" spans="1:8" ht="14.4">
      <c r="A19" s="290" t="s">
        <v>172</v>
      </c>
      <c r="B19" s="290"/>
      <c r="C19" s="290"/>
      <c r="D19" s="290"/>
      <c r="E19" s="290"/>
      <c r="F19" s="290"/>
      <c r="G19" s="290"/>
      <c r="H19" s="290"/>
    </row>
    <row r="20" spans="1:8" ht="14.4">
      <c r="A20" s="290" t="s">
        <v>173</v>
      </c>
      <c r="B20" s="290"/>
      <c r="C20" s="290"/>
      <c r="D20" s="290"/>
      <c r="E20" s="290"/>
      <c r="F20" s="290"/>
      <c r="G20" s="290"/>
      <c r="H20" s="290"/>
    </row>
    <row r="21" spans="1:8" ht="14.4">
      <c r="A21" s="290"/>
      <c r="B21" s="290"/>
      <c r="C21" s="290"/>
      <c r="D21" s="290"/>
      <c r="E21" s="290"/>
      <c r="F21" s="290"/>
      <c r="G21" s="290"/>
      <c r="H21" s="290"/>
    </row>
    <row r="22" spans="1:8" ht="14.4">
      <c r="A22" s="290"/>
      <c r="B22" s="290"/>
      <c r="C22" s="290"/>
      <c r="D22" s="290"/>
      <c r="E22" s="290"/>
      <c r="F22" s="290"/>
      <c r="G22" s="290"/>
      <c r="H22" s="290"/>
    </row>
    <row r="23" spans="1:8" ht="14.4">
      <c r="A23" s="290"/>
      <c r="B23" s="290"/>
      <c r="C23" s="290"/>
      <c r="D23" s="290"/>
      <c r="E23" s="290"/>
      <c r="F23" s="290"/>
      <c r="G23" s="290"/>
      <c r="H23" s="290"/>
    </row>
    <row r="24" spans="1:8" ht="14.4">
      <c r="A24" s="122"/>
    </row>
  </sheetData>
  <sheetProtection sheet="1" objects="1" scenarios="1"/>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topLeftCell="A14" zoomScaleNormal="100" zoomScaleSheetLayoutView="100" workbookViewId="0">
      <selection activeCell="F21" sqref="F21"/>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34" t="s">
        <v>174</v>
      </c>
      <c r="B1" s="134"/>
      <c r="C1" s="134"/>
      <c r="D1" s="134"/>
      <c r="E1" s="134"/>
      <c r="F1" s="134"/>
      <c r="G1" s="134"/>
      <c r="H1" s="134"/>
      <c r="I1" s="134"/>
      <c r="J1" s="134"/>
      <c r="K1" s="134"/>
    </row>
    <row r="2" spans="1:11" ht="19.2">
      <c r="A2" s="296"/>
      <c r="B2" s="296"/>
      <c r="C2" s="296"/>
      <c r="D2" s="296"/>
      <c r="E2" s="296"/>
      <c r="F2" s="296"/>
      <c r="G2" s="296"/>
      <c r="H2" s="135"/>
      <c r="I2" s="135"/>
      <c r="J2" s="135"/>
      <c r="K2" s="135"/>
    </row>
    <row r="3" spans="1:11" ht="14.4">
      <c r="A3" s="290" t="s">
        <v>175</v>
      </c>
      <c r="B3" s="290"/>
      <c r="C3" s="290"/>
      <c r="D3" s="290"/>
      <c r="E3" s="290"/>
      <c r="F3" s="290"/>
      <c r="G3" s="290"/>
    </row>
    <row r="4" spans="1:11" ht="14.4">
      <c r="A4" s="131"/>
      <c r="B4" s="131"/>
      <c r="C4" s="131"/>
      <c r="D4" s="131"/>
      <c r="E4" s="300" t="str">
        <f>IF(経費支出管理表!H4="","",経費支出管理表!H4)</f>
        <v/>
      </c>
      <c r="F4" s="300"/>
      <c r="G4" s="300"/>
    </row>
    <row r="5" spans="1:11" ht="16.5" customHeight="1">
      <c r="C5" s="131"/>
      <c r="D5" s="131"/>
      <c r="F5" s="301" t="s">
        <v>176</v>
      </c>
      <c r="G5" s="301"/>
    </row>
    <row r="6" spans="1:11" ht="14.4">
      <c r="A6" s="122"/>
      <c r="B6" s="122"/>
      <c r="C6" s="122"/>
      <c r="D6" s="122"/>
    </row>
    <row r="7" spans="1:11" ht="16.5" customHeight="1">
      <c r="A7" s="290" t="s">
        <v>177</v>
      </c>
      <c r="B7" s="290"/>
      <c r="C7" s="290"/>
      <c r="D7" s="290"/>
      <c r="E7" s="290"/>
      <c r="F7" s="290"/>
      <c r="G7" s="290"/>
    </row>
    <row r="8" spans="1:11" ht="14.4">
      <c r="A8" s="122"/>
      <c r="B8" s="122"/>
      <c r="C8" s="122"/>
      <c r="D8" s="122"/>
    </row>
    <row r="9" spans="1:11" ht="16.5" customHeight="1">
      <c r="C9" s="128" t="s">
        <v>157</v>
      </c>
      <c r="D9" s="312"/>
      <c r="E9" s="312"/>
      <c r="F9" s="312"/>
      <c r="G9" s="312"/>
    </row>
    <row r="10" spans="1:11" ht="16.5" customHeight="1">
      <c r="C10" s="128"/>
      <c r="D10" s="312"/>
      <c r="E10" s="312"/>
      <c r="F10" s="312"/>
      <c r="G10" s="312"/>
    </row>
    <row r="11" spans="1:11" ht="16.5" customHeight="1">
      <c r="C11" s="128" t="s">
        <v>158</v>
      </c>
      <c r="D11" s="312" t="str">
        <f>IF(経費支出管理表!H3="","",経費支出管理表!H3)</f>
        <v/>
      </c>
      <c r="E11" s="312"/>
      <c r="F11" s="312"/>
      <c r="G11" s="312"/>
    </row>
    <row r="12" spans="1:11" ht="16.5" customHeight="1">
      <c r="C12" s="129" t="s">
        <v>159</v>
      </c>
      <c r="D12" s="312"/>
      <c r="E12" s="312"/>
      <c r="F12" s="312"/>
      <c r="G12" s="313" t="s">
        <v>160</v>
      </c>
    </row>
    <row r="13" spans="1:11">
      <c r="C13" s="139"/>
      <c r="D13" s="139"/>
      <c r="E13" s="139"/>
      <c r="F13" s="139"/>
      <c r="G13" s="139"/>
    </row>
    <row r="14" spans="1:11" ht="21" customHeight="1">
      <c r="A14" s="122"/>
      <c r="B14" s="122"/>
      <c r="C14" s="122"/>
      <c r="D14" s="122"/>
    </row>
    <row r="15" spans="1:11" ht="16.5" customHeight="1">
      <c r="A15" s="289" t="s">
        <v>178</v>
      </c>
      <c r="B15" s="289"/>
      <c r="C15" s="289"/>
      <c r="D15" s="289"/>
      <c r="E15" s="289"/>
      <c r="F15" s="289"/>
      <c r="G15" s="289"/>
    </row>
    <row r="16" spans="1:11" ht="21" customHeight="1">
      <c r="A16" s="122"/>
      <c r="B16" s="122"/>
      <c r="C16" s="122"/>
      <c r="D16" s="122"/>
    </row>
    <row r="17" spans="1:7" ht="16.5" customHeight="1">
      <c r="A17" s="299" t="s">
        <v>208</v>
      </c>
      <c r="B17" s="299"/>
      <c r="C17" s="299"/>
      <c r="D17" s="299"/>
      <c r="E17" s="299"/>
      <c r="F17" s="299"/>
      <c r="G17" s="299"/>
    </row>
    <row r="18" spans="1:7" ht="16.5" customHeight="1">
      <c r="A18" s="299" t="s">
        <v>209</v>
      </c>
      <c r="B18" s="299"/>
      <c r="C18" s="299"/>
      <c r="D18" s="299"/>
      <c r="E18" s="299"/>
      <c r="F18" s="299"/>
      <c r="G18" s="299"/>
    </row>
    <row r="19" spans="1:7" ht="21" customHeight="1">
      <c r="A19" s="136"/>
      <c r="B19" s="136"/>
      <c r="C19" s="136"/>
      <c r="D19" s="136"/>
    </row>
    <row r="20" spans="1:7" ht="21" customHeight="1">
      <c r="A20" s="289" t="s">
        <v>126</v>
      </c>
      <c r="B20" s="289"/>
      <c r="C20" s="289"/>
      <c r="D20" s="289"/>
      <c r="E20" s="289"/>
      <c r="F20" s="289"/>
      <c r="G20" s="289"/>
    </row>
    <row r="21" spans="1:7" ht="21" customHeight="1">
      <c r="A21" s="122"/>
      <c r="B21" s="122"/>
      <c r="C21" s="122"/>
      <c r="D21" s="122"/>
    </row>
    <row r="22" spans="1:7" ht="16.5" customHeight="1">
      <c r="A22" s="290" t="s">
        <v>179</v>
      </c>
      <c r="B22" s="290"/>
      <c r="C22" s="290"/>
      <c r="D22" s="290"/>
      <c r="E22" s="290"/>
      <c r="F22" s="290"/>
      <c r="G22" s="290"/>
    </row>
    <row r="23" spans="1:7" ht="16.5" customHeight="1">
      <c r="A23" s="290" t="s">
        <v>180</v>
      </c>
      <c r="B23" s="290"/>
      <c r="C23" s="290"/>
      <c r="D23" s="290"/>
      <c r="E23" s="290"/>
      <c r="F23" s="290"/>
      <c r="G23" s="290"/>
    </row>
    <row r="24" spans="1:7" ht="16.5" customHeight="1">
      <c r="A24" s="290" t="s">
        <v>201</v>
      </c>
      <c r="B24" s="290"/>
      <c r="C24" s="290"/>
      <c r="D24" s="290"/>
      <c r="E24" s="290"/>
      <c r="F24" s="290"/>
      <c r="G24" s="290"/>
    </row>
    <row r="25" spans="1:7" ht="21" customHeight="1">
      <c r="A25" s="136"/>
      <c r="B25" s="136"/>
      <c r="C25" s="136"/>
      <c r="D25" s="136"/>
    </row>
    <row r="26" spans="1:7" ht="16.5" customHeight="1">
      <c r="A26" s="128" t="s">
        <v>181</v>
      </c>
      <c r="B26" s="128"/>
      <c r="C26" s="128"/>
      <c r="D26" s="128"/>
      <c r="E26" s="128"/>
      <c r="F26" s="128"/>
      <c r="G26" s="128"/>
    </row>
    <row r="27" spans="1:7" ht="15">
      <c r="A27" s="136"/>
      <c r="B27" s="136"/>
      <c r="C27" s="136"/>
      <c r="D27" s="136"/>
    </row>
    <row r="28" spans="1:7" ht="16.5" customHeight="1">
      <c r="A28" s="137" t="s">
        <v>182</v>
      </c>
      <c r="C28" s="314" t="s">
        <v>183</v>
      </c>
      <c r="D28" s="314"/>
    </row>
    <row r="29" spans="1:7" ht="18.75" customHeight="1">
      <c r="A29" s="136" t="s">
        <v>184</v>
      </c>
      <c r="B29" s="136"/>
      <c r="C29" s="136"/>
      <c r="D29" s="136"/>
    </row>
    <row r="30" spans="1:7" ht="16.5" customHeight="1">
      <c r="A30" s="290" t="s">
        <v>185</v>
      </c>
      <c r="B30" s="290"/>
      <c r="C30" s="290"/>
      <c r="D30" s="290"/>
      <c r="E30" s="290"/>
      <c r="F30" s="290"/>
      <c r="G30" s="290"/>
    </row>
    <row r="31" spans="1:7" ht="16.5" customHeight="1">
      <c r="A31" s="128" t="s">
        <v>203</v>
      </c>
      <c r="B31" s="128"/>
      <c r="C31" s="128"/>
      <c r="D31" s="128"/>
      <c r="E31" s="128"/>
      <c r="F31" s="25"/>
      <c r="G31" s="25"/>
    </row>
    <row r="32" spans="1:7" ht="16.5" customHeight="1">
      <c r="A32" s="303" t="s">
        <v>186</v>
      </c>
      <c r="B32" s="303"/>
      <c r="C32" s="303"/>
      <c r="D32" s="303"/>
      <c r="E32" s="303"/>
      <c r="F32" s="303"/>
      <c r="G32" s="303"/>
    </row>
    <row r="33" spans="1:7" ht="20.25" customHeight="1">
      <c r="A33" s="122"/>
      <c r="B33" s="122"/>
      <c r="C33" s="122"/>
      <c r="D33" s="122"/>
    </row>
    <row r="34" spans="1:7" ht="17.25" customHeight="1">
      <c r="B34" s="138" t="s">
        <v>187</v>
      </c>
      <c r="C34" s="312"/>
      <c r="D34" s="312"/>
      <c r="E34" s="312"/>
      <c r="F34" s="312"/>
      <c r="G34" s="312"/>
    </row>
    <row r="35" spans="1:7" ht="17.25" customHeight="1">
      <c r="B35" s="128" t="s">
        <v>188</v>
      </c>
      <c r="C35" s="312"/>
      <c r="D35" s="312"/>
      <c r="E35" s="312"/>
      <c r="F35" s="312"/>
      <c r="G35" s="312"/>
    </row>
    <row r="36" spans="1:7" ht="17.25" customHeight="1">
      <c r="B36" s="138" t="s">
        <v>189</v>
      </c>
      <c r="C36" s="312"/>
      <c r="D36" s="312"/>
      <c r="E36" s="312"/>
      <c r="F36" s="312"/>
      <c r="G36" s="312"/>
    </row>
    <row r="37" spans="1:7" ht="17.25" customHeight="1">
      <c r="B37" s="138" t="s">
        <v>190</v>
      </c>
      <c r="C37" s="312"/>
      <c r="D37" s="312"/>
      <c r="E37" s="312"/>
      <c r="F37" s="312"/>
      <c r="G37" s="312"/>
    </row>
    <row r="38" spans="1:7" ht="17.25" customHeight="1">
      <c r="B38" s="138" t="s">
        <v>191</v>
      </c>
      <c r="C38" s="312"/>
      <c r="D38" s="312"/>
      <c r="E38" s="312"/>
      <c r="F38" s="312"/>
      <c r="G38" s="312"/>
    </row>
    <row r="39" spans="1:7" ht="17.25" customHeight="1">
      <c r="B39" s="138" t="s">
        <v>192</v>
      </c>
      <c r="C39" s="312"/>
      <c r="D39" s="312"/>
      <c r="E39" s="312"/>
      <c r="F39" s="312"/>
      <c r="G39" s="312"/>
    </row>
    <row r="40" spans="1:7" ht="17.25" customHeight="1">
      <c r="B40" s="138" t="s">
        <v>193</v>
      </c>
      <c r="C40" s="312"/>
      <c r="D40" s="312"/>
      <c r="E40" s="312"/>
      <c r="F40" s="312"/>
      <c r="G40" s="312"/>
    </row>
    <row r="41" spans="1:7" ht="14.4">
      <c r="A41" s="122"/>
      <c r="B41" s="122"/>
      <c r="C41" s="302"/>
      <c r="D41" s="302"/>
      <c r="E41" s="302"/>
      <c r="F41" s="302"/>
      <c r="G41" s="302"/>
    </row>
    <row r="42" spans="1:7" ht="14.4">
      <c r="A42" s="137"/>
      <c r="B42" s="128"/>
      <c r="C42" s="128"/>
      <c r="D42" s="128"/>
      <c r="E42" s="128"/>
      <c r="F42" s="128"/>
      <c r="G42" s="128"/>
    </row>
    <row r="43" spans="1:7" ht="14.4">
      <c r="A43" s="122"/>
      <c r="B43" s="122"/>
      <c r="C43" s="122"/>
      <c r="D43" s="122"/>
    </row>
  </sheetData>
  <sheetProtection sheet="1" objects="1" scenarios="1"/>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6"/>
  </cols>
  <sheetData>
    <row r="1" spans="1:13" ht="14.4">
      <c r="A1" s="140" t="s">
        <v>194</v>
      </c>
    </row>
    <row r="2" spans="1:13" ht="141.75" customHeight="1">
      <c r="A2" s="304" t="s">
        <v>211</v>
      </c>
      <c r="B2" s="304"/>
      <c r="C2" s="304"/>
      <c r="D2" s="304"/>
      <c r="E2" s="304"/>
      <c r="F2" s="304"/>
      <c r="G2" s="304"/>
      <c r="H2" s="304"/>
      <c r="I2" s="304"/>
      <c r="J2" s="304"/>
      <c r="K2" s="304"/>
      <c r="L2" s="304"/>
      <c r="M2" s="304"/>
    </row>
    <row r="4" spans="1:13">
      <c r="A4" s="36" t="s">
        <v>195</v>
      </c>
    </row>
  </sheetData>
  <sheetProtection sheet="1" objects="1" scenarios="1"/>
  <mergeCells count="1">
    <mergeCell ref="A2:M2"/>
  </mergeCells>
  <phoneticPr fontId="13"/>
  <pageMargins left="0.7" right="0.7" top="0.75" bottom="0.75" header="0.3" footer="0.3"/>
  <pageSetup paperSize="9" scale="9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目次</vt:lpstr>
      <vt:lpstr>経費支出管理表</vt:lpstr>
      <vt:lpstr>収益納付用</vt:lpstr>
      <vt:lpstr>別紙３支出内訳書</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2024-04-03T09:34:46Z</dcterms:modified>
</cp:coreProperties>
</file>